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212523799\Box Sync\MN Product Management\Cortecs\RPV311\"/>
    </mc:Choice>
  </mc:AlternateContent>
  <xr:revisionPtr revIDLastSave="0" documentId="13_ncr:1_{32E9A052-8C1D-4EB5-A3E3-1F9B5C4C10D2}" xr6:coauthVersionLast="45" xr6:coauthVersionMax="45" xr10:uidLastSave="{00000000-0000-0000-0000-000000000000}"/>
  <workbookProtection workbookAlgorithmName="SHA-512" workbookHashValue="1J3+I8yfmc3YGQ6q9lzm+9qLpfgeb+xYfwN7llyQv2zwIyK1iBU9OgR8eVsYelEmH+M9D1DCysUJhzmNIhThzQ==" workbookSaltValue="RIZNhDbkBqCJIYy+kDLUwA==" workbookSpinCount="100000" lockStructure="1"/>
  <bookViews>
    <workbookView xWindow="28680" yWindow="-120" windowWidth="29040" windowHeight="15840" tabRatio="617" xr2:uid="{00000000-000D-0000-FFFF-FFFF00000000}"/>
  </bookViews>
  <sheets>
    <sheet name="Disclaimer" sheetId="7" r:id="rId1"/>
    <sheet name="Cortec" sheetId="12" r:id="rId2"/>
    <sheet name="Configurator" sheetId="11" r:id="rId3"/>
    <sheet name="Master Text" sheetId="10" r:id="rId4"/>
    <sheet name="Database" sheetId="9" state="hidden" r:id="rId5"/>
    <sheet name="Date Drivers" sheetId="6" state="hidden" r:id="rId6"/>
    <sheet name="Language" sheetId="1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2" l="1"/>
  <c r="D4" i="9"/>
  <c r="E10" i="12" s="1"/>
  <c r="C55" i="9"/>
  <c r="H36" i="10"/>
  <c r="H37" i="10"/>
  <c r="I1" i="6"/>
  <c r="I34" i="12" l="1"/>
  <c r="J37" i="12"/>
  <c r="H1" i="6"/>
  <c r="G1" i="6" l="1"/>
  <c r="F20" i="9" l="1"/>
  <c r="H33" i="10" l="1"/>
  <c r="F1" i="6"/>
  <c r="H32" i="10" l="1"/>
  <c r="D48" i="9" l="1"/>
  <c r="D47" i="9"/>
  <c r="D46" i="9"/>
  <c r="H30" i="12" s="1"/>
  <c r="E1" i="6" l="1"/>
  <c r="D1" i="6" l="1"/>
  <c r="C1" i="6" l="1"/>
  <c r="B3" i="13" l="1"/>
  <c r="C3" i="13"/>
  <c r="F37" i="9"/>
  <c r="F38" i="9"/>
  <c r="F39" i="9"/>
  <c r="F36" i="9"/>
  <c r="F28" i="9"/>
  <c r="F29" i="9"/>
  <c r="F30" i="9"/>
  <c r="F27" i="9"/>
  <c r="B1" i="6"/>
  <c r="D45" i="9"/>
  <c r="G21" i="11" s="1"/>
  <c r="L3" i="11" s="1"/>
  <c r="F19" i="9"/>
  <c r="F18" i="9"/>
  <c r="I43" i="6" l="1"/>
  <c r="I42" i="6"/>
  <c r="I25" i="6"/>
  <c r="I26" i="6"/>
  <c r="I41" i="6"/>
  <c r="I24" i="6"/>
  <c r="I50" i="6"/>
  <c r="I30" i="6"/>
  <c r="I4" i="6"/>
  <c r="I3" i="6" s="1"/>
  <c r="I76" i="6"/>
  <c r="I40" i="6"/>
  <c r="I17" i="6"/>
  <c r="C37" i="10"/>
  <c r="I75" i="6"/>
  <c r="I33" i="6"/>
  <c r="I16" i="6"/>
  <c r="I62" i="6"/>
  <c r="I32" i="6"/>
  <c r="I7" i="6"/>
  <c r="C4" i="9" s="1"/>
  <c r="A10" i="12" s="1"/>
  <c r="I61" i="6"/>
  <c r="I31" i="6"/>
  <c r="I6" i="6"/>
  <c r="A9" i="12" s="1"/>
  <c r="D55" i="9"/>
  <c r="H75" i="6"/>
  <c r="C36" i="10"/>
  <c r="H61" i="6"/>
  <c r="H41" i="6"/>
  <c r="H31" i="6"/>
  <c r="H24" i="6"/>
  <c r="H62" i="6"/>
  <c r="A34" i="12" s="1"/>
  <c r="H50" i="6"/>
  <c r="H40" i="6"/>
  <c r="H30" i="6"/>
  <c r="H17" i="6"/>
  <c r="H4" i="6"/>
  <c r="H3" i="6" s="1"/>
  <c r="H76" i="6"/>
  <c r="H43" i="6"/>
  <c r="H33" i="6"/>
  <c r="H26" i="6"/>
  <c r="H16" i="6"/>
  <c r="H42" i="6"/>
  <c r="H32" i="6"/>
  <c r="H25" i="6"/>
  <c r="H7" i="6"/>
  <c r="H6" i="6"/>
  <c r="D61" i="9"/>
  <c r="D60" i="9" s="1"/>
  <c r="G25" i="11" s="1"/>
  <c r="N3" i="11" s="1"/>
  <c r="B24" i="6"/>
  <c r="C35" i="10"/>
  <c r="B3" i="12"/>
  <c r="G62" i="6"/>
  <c r="G42" i="6"/>
  <c r="G32" i="6"/>
  <c r="G25" i="6"/>
  <c r="G7" i="6"/>
  <c r="G50" i="6"/>
  <c r="G40" i="6"/>
  <c r="G17" i="6"/>
  <c r="G43" i="6"/>
  <c r="G33" i="6"/>
  <c r="G16" i="6"/>
  <c r="G61" i="6"/>
  <c r="G41" i="6"/>
  <c r="G31" i="6"/>
  <c r="G24" i="6"/>
  <c r="G6" i="6"/>
  <c r="G76" i="6"/>
  <c r="G30" i="6"/>
  <c r="G4" i="6"/>
  <c r="G3" i="6" s="1"/>
  <c r="G75" i="6"/>
  <c r="A37" i="12" s="1"/>
  <c r="G26" i="6"/>
  <c r="C34" i="10"/>
  <c r="B6" i="6"/>
  <c r="A16" i="6"/>
  <c r="A10" i="9" s="1"/>
  <c r="A6" i="11" s="1"/>
  <c r="C33" i="10"/>
  <c r="F61" i="6"/>
  <c r="F43" i="6"/>
  <c r="F33" i="6"/>
  <c r="F26" i="6"/>
  <c r="F16" i="6"/>
  <c r="F75" i="6"/>
  <c r="F42" i="6"/>
  <c r="F32" i="6"/>
  <c r="F25" i="6"/>
  <c r="F7" i="6"/>
  <c r="F62" i="6"/>
  <c r="F41" i="6"/>
  <c r="F31" i="6"/>
  <c r="F24" i="6"/>
  <c r="F6" i="6"/>
  <c r="F50" i="6"/>
  <c r="F40" i="6"/>
  <c r="F30" i="6"/>
  <c r="F17" i="6"/>
  <c r="F4" i="6"/>
  <c r="F3" i="6" s="1"/>
  <c r="A1" i="12"/>
  <c r="A61" i="6"/>
  <c r="A53" i="9" s="1"/>
  <c r="A22" i="11" s="1"/>
  <c r="A50" i="6"/>
  <c r="A45" i="9" s="1"/>
  <c r="A20" i="11" s="1"/>
  <c r="B3" i="7"/>
  <c r="B4" i="6"/>
  <c r="B3" i="6" s="1"/>
  <c r="B30" i="6"/>
  <c r="C47" i="9"/>
  <c r="C48" i="9"/>
  <c r="B50" i="6"/>
  <c r="B11" i="7"/>
  <c r="B16" i="6"/>
  <c r="B43" i="6"/>
  <c r="B4" i="7"/>
  <c r="B51" i="6"/>
  <c r="C28" i="10"/>
  <c r="A3" i="12"/>
  <c r="A3" i="6"/>
  <c r="A5" i="12" s="1"/>
  <c r="A75" i="6"/>
  <c r="A60" i="9" s="1"/>
  <c r="A24" i="6"/>
  <c r="A16" i="12" s="1"/>
  <c r="E50" i="6"/>
  <c r="E42" i="6"/>
  <c r="E32" i="6"/>
  <c r="E25" i="6"/>
  <c r="E7" i="6"/>
  <c r="E75" i="6"/>
  <c r="E41" i="6"/>
  <c r="E31" i="6"/>
  <c r="E24" i="6"/>
  <c r="E6" i="6"/>
  <c r="E26" i="6"/>
  <c r="E61" i="6"/>
  <c r="E40" i="6"/>
  <c r="E30" i="6"/>
  <c r="E17" i="6"/>
  <c r="E4" i="6"/>
  <c r="E3" i="6" s="1"/>
  <c r="E43" i="6"/>
  <c r="E33" i="6"/>
  <c r="E16" i="6"/>
  <c r="C32" i="10"/>
  <c r="C31" i="10"/>
  <c r="C30" i="10"/>
  <c r="D61" i="6"/>
  <c r="D75" i="6"/>
  <c r="D42" i="6"/>
  <c r="D32" i="6"/>
  <c r="D24" i="6"/>
  <c r="D6" i="6"/>
  <c r="D62" i="6"/>
  <c r="D51" i="6"/>
  <c r="D41" i="6"/>
  <c r="D31" i="6"/>
  <c r="D17" i="6"/>
  <c r="D4" i="6"/>
  <c r="D3" i="6" s="1"/>
  <c r="D30" i="6"/>
  <c r="D26" i="6"/>
  <c r="D33" i="6"/>
  <c r="D7" i="6"/>
  <c r="D63" i="6"/>
  <c r="D50" i="6"/>
  <c r="D40" i="6"/>
  <c r="D16" i="6"/>
  <c r="D43" i="6"/>
  <c r="D25" i="6"/>
  <c r="C29" i="10"/>
  <c r="C62" i="6"/>
  <c r="C75" i="6"/>
  <c r="C43" i="6"/>
  <c r="C33" i="6"/>
  <c r="C24" i="6"/>
  <c r="C30" i="6"/>
  <c r="C61" i="6"/>
  <c r="C42" i="6"/>
  <c r="C32" i="6"/>
  <c r="C17" i="6"/>
  <c r="C16" i="6"/>
  <c r="C50" i="6"/>
  <c r="C25" i="6"/>
  <c r="C6" i="6"/>
  <c r="C51" i="6"/>
  <c r="C41" i="6"/>
  <c r="C31" i="6"/>
  <c r="C7" i="6"/>
  <c r="C40" i="6"/>
  <c r="C4" i="6"/>
  <c r="C3" i="6" s="1"/>
  <c r="B41" i="6"/>
  <c r="A6" i="6"/>
  <c r="A3" i="9" s="1"/>
  <c r="A4" i="11" s="1"/>
  <c r="B25" i="6"/>
  <c r="B75" i="6"/>
  <c r="B42" i="6"/>
  <c r="B61" i="6"/>
  <c r="D12" i="9"/>
  <c r="C15" i="9"/>
  <c r="D11" i="9"/>
  <c r="D54" i="9"/>
  <c r="D53" i="9" s="1"/>
  <c r="B17" i="6"/>
  <c r="B31" i="6"/>
  <c r="B33" i="6"/>
  <c r="B32" i="6"/>
  <c r="B6" i="7"/>
  <c r="B40" i="6"/>
  <c r="A27" i="10"/>
  <c r="F42" i="9"/>
  <c r="D35" i="9" s="1"/>
  <c r="G16" i="11" s="1"/>
  <c r="K3" i="11" s="1"/>
  <c r="F33" i="9"/>
  <c r="D26" i="9" s="1"/>
  <c r="G12" i="11" s="1"/>
  <c r="J3" i="11" s="1"/>
  <c r="C12" i="9" l="1"/>
  <c r="A14" i="12" s="1"/>
  <c r="C38" i="9"/>
  <c r="B18" i="11" s="1"/>
  <c r="C61" i="9"/>
  <c r="A38" i="12" s="1"/>
  <c r="A5" i="10"/>
  <c r="A19" i="10"/>
  <c r="A12" i="12"/>
  <c r="A29" i="12"/>
  <c r="J38" i="12"/>
  <c r="A32" i="12"/>
  <c r="C30" i="9"/>
  <c r="A24" i="12" s="1"/>
  <c r="C46" i="9"/>
  <c r="C45" i="9" s="1"/>
  <c r="A20" i="10" s="1"/>
  <c r="A2" i="9"/>
  <c r="A1" i="11" s="1"/>
  <c r="A21" i="10"/>
  <c r="C39" i="9"/>
  <c r="B19" i="11" s="1"/>
  <c r="C27" i="9"/>
  <c r="A21" i="12" s="1"/>
  <c r="C18" i="9"/>
  <c r="A25" i="12" s="1"/>
  <c r="F3" i="11"/>
  <c r="D10" i="9"/>
  <c r="G7" i="11" s="1"/>
  <c r="H3" i="11" s="1"/>
  <c r="C54" i="9"/>
  <c r="C53" i="9" s="1"/>
  <c r="C19" i="9"/>
  <c r="H19" i="9" s="1"/>
  <c r="C11" i="9"/>
  <c r="A13" i="12" s="1"/>
  <c r="C20" i="9"/>
  <c r="C37" i="9"/>
  <c r="H37" i="9" s="1"/>
  <c r="A16" i="10" s="1"/>
  <c r="C29" i="9"/>
  <c r="H29" i="9" s="1"/>
  <c r="A13" i="10" s="1"/>
  <c r="A8" i="12"/>
  <c r="A3" i="10"/>
  <c r="A36" i="12"/>
  <c r="C28" i="9"/>
  <c r="H28" i="9" s="1"/>
  <c r="A12" i="10" s="1"/>
  <c r="A17" i="9"/>
  <c r="A7" i="10" s="1"/>
  <c r="C36" i="9"/>
  <c r="A17" i="12" s="1"/>
  <c r="D3" i="9"/>
  <c r="G5" i="11" s="1"/>
  <c r="G3" i="11" s="1"/>
  <c r="G23" i="11"/>
  <c r="I33" i="12"/>
  <c r="A24" i="11"/>
  <c r="A23" i="10"/>
  <c r="C60" i="9" l="1"/>
  <c r="A24" i="10" s="1"/>
  <c r="C10" i="9"/>
  <c r="A6" i="10" s="1"/>
  <c r="A19" i="12"/>
  <c r="H38" i="9"/>
  <c r="A17" i="10" s="1"/>
  <c r="A30" i="12"/>
  <c r="B15" i="11"/>
  <c r="H30" i="9"/>
  <c r="A14" i="10" s="1"/>
  <c r="A6" i="12"/>
  <c r="H27" i="9"/>
  <c r="A11" i="10" s="1"/>
  <c r="A2" i="10"/>
  <c r="B12" i="11"/>
  <c r="H39" i="9"/>
  <c r="A18" i="10" s="1"/>
  <c r="A20" i="12"/>
  <c r="C3" i="9"/>
  <c r="A4" i="10" s="1"/>
  <c r="H18" i="9"/>
  <c r="A8" i="10" s="1"/>
  <c r="B9" i="11"/>
  <c r="B14" i="11"/>
  <c r="B11" i="11"/>
  <c r="H20" i="9"/>
  <c r="A22" i="12"/>
  <c r="B13" i="11"/>
  <c r="A27" i="12"/>
  <c r="A26" i="12"/>
  <c r="A23" i="12"/>
  <c r="P11" i="11"/>
  <c r="A33" i="12"/>
  <c r="B17" i="11"/>
  <c r="A18" i="12"/>
  <c r="H36" i="9"/>
  <c r="A15" i="10" s="1"/>
  <c r="B10" i="11"/>
  <c r="A9" i="10"/>
  <c r="B16" i="11"/>
  <c r="A8" i="11"/>
  <c r="M3" i="11"/>
  <c r="A22" i="10"/>
  <c r="A10" i="10" l="1"/>
  <c r="F24" i="9"/>
  <c r="D17" i="9" l="1"/>
  <c r="G9" i="11" s="1"/>
  <c r="I3" i="11" s="1"/>
  <c r="C2" i="9" l="1"/>
  <c r="A1" i="10" s="1"/>
</calcChain>
</file>

<file path=xl/sharedStrings.xml><?xml version="1.0" encoding="utf-8"?>
<sst xmlns="http://schemas.openxmlformats.org/spreadsheetml/2006/main" count="268" uniqueCount="164">
  <si>
    <t>A</t>
  </si>
  <si>
    <t>B</t>
  </si>
  <si>
    <t>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</si>
  <si>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</si>
  <si>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</si>
  <si>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</si>
  <si>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Key Date</t>
  </si>
  <si>
    <t>Variants</t>
  </si>
  <si>
    <t>Base date</t>
  </si>
  <si>
    <t>Order Number</t>
  </si>
  <si>
    <t>Model Type</t>
  </si>
  <si>
    <t>Power Supply</t>
  </si>
  <si>
    <t>Customization / Regionalisation</t>
  </si>
  <si>
    <t>Default</t>
  </si>
  <si>
    <t>Reason branding</t>
  </si>
  <si>
    <t>Sample customer specific</t>
  </si>
  <si>
    <t>Firmware Version</t>
  </si>
  <si>
    <t>Hardware Design Suffix</t>
  </si>
  <si>
    <t>Network Interface</t>
  </si>
  <si>
    <t>Hardware Design Siffix</t>
  </si>
  <si>
    <t>Initial relese</t>
  </si>
  <si>
    <t>1-6</t>
  </si>
  <si>
    <t>9-11</t>
  </si>
  <si>
    <t>13-14</t>
  </si>
  <si>
    <t>RPV311</t>
  </si>
  <si>
    <t>Two RJ45 copper 100BASE-TX Ethernet interfaces</t>
  </si>
  <si>
    <t>E</t>
  </si>
  <si>
    <t>Two RJ45 copper or duplex ST-type connector 100BASE-X Ethernet interfaces</t>
  </si>
  <si>
    <t>O</t>
  </si>
  <si>
    <t>Functions and Protocols</t>
  </si>
  <si>
    <t>Fault Recorder</t>
  </si>
  <si>
    <t>***</t>
  </si>
  <si>
    <t>Sequence of Events Recorder</t>
  </si>
  <si>
    <t>Disturbance Recorder</t>
  </si>
  <si>
    <t>Continuous Fault and Disturbance Recorder</t>
  </si>
  <si>
    <t>Phasor Measurement Unit (PMU)</t>
  </si>
  <si>
    <t>MODBUS/DNP3.0 Interface</t>
  </si>
  <si>
    <t>Power Quality</t>
  </si>
  <si>
    <t>IEC 61850-9-2LE Inputs</t>
  </si>
  <si>
    <t>Travelling Wave Fault Location</t>
  </si>
  <si>
    <t>Total</t>
  </si>
  <si>
    <t>---</t>
  </si>
  <si>
    <t>Languages</t>
  </si>
  <si>
    <t>En</t>
  </si>
  <si>
    <t>Pt</t>
  </si>
  <si>
    <t>Modelo</t>
  </si>
  <si>
    <t>English</t>
  </si>
  <si>
    <t>Português</t>
  </si>
  <si>
    <t>Marca Reason</t>
  </si>
  <si>
    <t>Issue</t>
  </si>
  <si>
    <t>Emissão</t>
  </si>
  <si>
    <t>Original Created</t>
  </si>
  <si>
    <t>Language Selection</t>
  </si>
  <si>
    <t>Seleção de idioma</t>
  </si>
  <si>
    <t xml:space="preserve">Embora sejam demandados esforços para manter a documentação atualizada, este documento deve ser visto como um guia e destina-se apenas para fins informativos. </t>
  </si>
  <si>
    <t>Seu conteúdo não constitui uma proposta para venda ou recomendação sobre a aplicação de qualquer produto nele mencionado. Nós não podemos ser responsabilizados por quaisquer consequências em decisões tomadas sobre o seu conteúdo, sem recomendações específicas.</t>
  </si>
  <si>
    <t>Information required with Order</t>
  </si>
  <si>
    <t>Informações requeridas para o pedido</t>
  </si>
  <si>
    <t>Variantes</t>
  </si>
  <si>
    <t>New function</t>
  </si>
  <si>
    <t>Nova função</t>
  </si>
  <si>
    <t>Alimentação</t>
  </si>
  <si>
    <t>Interfaces de Rede</t>
  </si>
  <si>
    <t>Duas interfaces Ethernet 100BASE-X de cobre RJ45 ou conector tipo ST duplex</t>
  </si>
  <si>
    <t>Funções e Protocolos</t>
  </si>
  <si>
    <t>Registrador de Curta Duração</t>
  </si>
  <si>
    <t>Registrador de Sequencial de Eventos</t>
  </si>
  <si>
    <t>Registrador de Longa Duração</t>
  </si>
  <si>
    <t>Registrador Continuo de Curta e Longa Duração</t>
  </si>
  <si>
    <t>Interface MODBUS/DNP3.0</t>
  </si>
  <si>
    <t>Qualidade de Energia</t>
  </si>
  <si>
    <t>Localizador de Faltas por Ondas Viajantes</t>
  </si>
  <si>
    <t>Customização / Regionalização</t>
  </si>
  <si>
    <t>Versão de Firmware</t>
  </si>
  <si>
    <t>Espanhol</t>
  </si>
  <si>
    <t>Es</t>
  </si>
  <si>
    <t>Registrador de Perturbações Digital Multifunção</t>
  </si>
  <si>
    <t>Registrador de Perturbaciones Digital Multifuncional Distribuido</t>
  </si>
  <si>
    <t>Alimentación</t>
  </si>
  <si>
    <t xml:space="preserve">Duas interfaces Ethernet 100BASE-TX de cobre RJ45   </t>
  </si>
  <si>
    <t>Dos interfaces Ethernet 100BASE-TX de cobre RJ45</t>
  </si>
  <si>
    <t xml:space="preserve">Dos interfaces Ethernet 100BASE-X de cobre RJ45 o conector tipo dúplex ST </t>
  </si>
  <si>
    <t>Funciones y Protocolos</t>
  </si>
  <si>
    <t>Registrador de Secuencial de Eventos</t>
  </si>
  <si>
    <t>Calidad de Energía</t>
  </si>
  <si>
    <t>Localización de Fallas por Ondas Viajeras</t>
  </si>
  <si>
    <t>Personalización / Regionalización</t>
  </si>
  <si>
    <t>Versión del Firmware</t>
  </si>
  <si>
    <t>Emisión</t>
  </si>
  <si>
    <t>Selección del Idioma</t>
  </si>
  <si>
    <t>A pesar del esfuerzo por producir literatura actualizada, este documento sólo debe considerarse como una guía y está destinada únicamente a fines informativos.</t>
  </si>
  <si>
    <t>Su contenido no constituye una oferta de venta o asesoramiento en la aplicación de cualquier producto contemplado en el mismo. No podemos ser responsables por cualquier dependencia de las decisiones adoptadas en su contenido sin notificación al respecto.</t>
  </si>
  <si>
    <t>Nuestra política es de desarrollo continuo. Por lo tanto el diseño de nuestros productos puede cambiar en cualquier momento.</t>
  </si>
  <si>
    <t>Número de Orden</t>
  </si>
  <si>
    <t>Nueva función</t>
  </si>
  <si>
    <t>Registrador de Corta Duración</t>
  </si>
  <si>
    <t>Interfaces de Red</t>
  </si>
  <si>
    <t>Sufixo Designador do Hardware</t>
  </si>
  <si>
    <t>Criado Originalmente</t>
  </si>
  <si>
    <t>Creado Originalmente</t>
  </si>
  <si>
    <t>Información necesaria para la Orden de Compra:</t>
  </si>
  <si>
    <t>Registrador de Larga duración</t>
  </si>
  <si>
    <t>Nossa política é de desenvolvimento contínuo. Portanto, o projeto de nossos produtos pode mudar a qualquer momento.</t>
  </si>
  <si>
    <t>Aquisição de dados por IEC 61850-9-2LE</t>
  </si>
  <si>
    <t>Adquisición de datos por IEC 61850-9-2LE</t>
  </si>
  <si>
    <t>GOOSE Message Subscription</t>
  </si>
  <si>
    <t xml:space="preserve">Subscrição à mensagens GOOSE </t>
  </si>
  <si>
    <t>Subscripción a mensajes GOOSE</t>
  </si>
  <si>
    <t>Grabación Continua de Corta y Larga Duración</t>
  </si>
  <si>
    <t>Sufijo Designador del Hardware</t>
  </si>
  <si>
    <t>Añadida la vérsion de firmware 12 y la opción de alimentación 24-48 Vcc</t>
  </si>
  <si>
    <t>Adicionada a versão de firmware 12 e a opção de fonte 24-48 Vcc</t>
  </si>
  <si>
    <t>Added firmware version 12 and the 24-48 Vdc power supply option</t>
  </si>
  <si>
    <t>100-250 Vdc / 110-240 Vac</t>
  </si>
  <si>
    <t>100-250 Vcc / 110-240 Vca</t>
  </si>
  <si>
    <t>Added WMU function and corrected power supply range for option 3</t>
  </si>
  <si>
    <t>Adicionada a função WMU e corrigido os valores nominais para fonte de alimentação opção 3</t>
  </si>
  <si>
    <t>Añadida la función WMU y ajustados los valores nominales de la alimentación opción 3</t>
  </si>
  <si>
    <t>Waveform Measurement Unit (WMU)</t>
  </si>
  <si>
    <t>Firmware 12</t>
  </si>
  <si>
    <t>Firmware 11</t>
  </si>
  <si>
    <t>Firmware 13</t>
  </si>
  <si>
    <t xml:space="preserve">Master Text </t>
  </si>
  <si>
    <t>D</t>
  </si>
  <si>
    <t>Corrected invalid field in WMU configuration</t>
  </si>
  <si>
    <t>Corrigido um campo inválido na seleção de WMU</t>
  </si>
  <si>
    <t>Se ha solucionado un campo no válido en la selección de la opción WMU</t>
  </si>
  <si>
    <t>GE branding</t>
  </si>
  <si>
    <t>Marca GE</t>
  </si>
  <si>
    <t>Multifunction Recorder</t>
  </si>
  <si>
    <t>Added warnings on WMU selection in configurator, changed branding to GE, removed firmware 11 and 12</t>
  </si>
  <si>
    <t>Adicionado advertências na seleção da função WMU, alterada marca para GE, removidos os firmwares 11 e 12</t>
  </si>
  <si>
    <t>Añadido advertencias en la selección de la opción WMU, cambiada la marca para GE, removido los firmwares 11 y 12</t>
  </si>
  <si>
    <t>Soportado solamente con la opción PMU habilitada</t>
  </si>
  <si>
    <t>Suportado apenas com a função PMU habilitada</t>
  </si>
  <si>
    <t>Only supported with PMU function</t>
  </si>
  <si>
    <t>Firmware 14</t>
  </si>
  <si>
    <t>F</t>
  </si>
  <si>
    <t>Added Firmware 14</t>
  </si>
  <si>
    <t>Adicionado firmware 14</t>
  </si>
  <si>
    <t>Añadido firmware 14</t>
  </si>
  <si>
    <t>G</t>
  </si>
  <si>
    <t>Third version (withdraw)</t>
  </si>
  <si>
    <t>Terceira versão (obsoleto)</t>
  </si>
  <si>
    <t>Tercera versión (obsoleto)</t>
  </si>
  <si>
    <t>Cuarta versión</t>
  </si>
  <si>
    <t>Quarta versão</t>
  </si>
  <si>
    <t>Fourth version</t>
  </si>
  <si>
    <t>H</t>
  </si>
  <si>
    <t>Obsoleta terceira versão de hardware (C) e adicionada quarta versão de hardware (D)</t>
  </si>
  <si>
    <t>Obsoleta tercera versión de hardware (C) y agregó la cuarta versión de hardware (D)</t>
  </si>
  <si>
    <t>Firmware 13 (withdraw)</t>
  </si>
  <si>
    <t>Firmware 13 (obsoleto)</t>
  </si>
  <si>
    <t>Obsoleta versão 13 de firmware</t>
  </si>
  <si>
    <t>Obsoleta versión 13 de firmware</t>
  </si>
  <si>
    <t>I</t>
  </si>
  <si>
    <t>Obsolete third hardware version (C) and added fourth hardware version (D)</t>
  </si>
  <si>
    <t>Obsolete firmware version 13</t>
  </si>
  <si>
    <t>24-48 Vdc (withdraw)</t>
  </si>
  <si>
    <t>24-48 Vcc (obsoleto)</t>
  </si>
  <si>
    <t>J</t>
  </si>
  <si>
    <t>Withdraw Low Voltage Power Supply by CID006764 - 12/15/2021, plese refer to End-of-manufacturing notice GER-4900</t>
  </si>
  <si>
    <t>Fonte de baixa tensão descontinuada pelo CID006764 - 12/15/2021, referenciado pela nota de descontinuação GER-4900</t>
  </si>
  <si>
    <t>Retire la fuente de alimentación de bajo voltaje antes del CID006764 - 15/12/2021, consulte el aviso de fin de fabricación GER-4900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</si>
</sst>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color indexed="8"/>
      <name val="Arial"/>
      <family val="2"/>
    </font>
    <font>
      <sz val="10"/>
      <name val="Arial"/>
      <family val="2"/>
    </font>
    <font>
      <sz val="11"/>
      <name val="Arial"/>
      <family val="2"/>
    </font>
    <font>
      <sz val="9"/>
      <name val="Arial"/>
      <family val="2"/>
    </font>
    <font>
      <b/>
      <sz val="10"/>
      <name val="Arial"/>
      <family val="2"/>
    </font>
    <font>
      <sz val="10"/>
      <color indexed="9"/>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sz val="8"/>
      <name val="Calibri"/>
      <family val="2"/>
    </font>
    <font>
      <b/>
      <sz val="12"/>
      <color indexed="12"/>
      <name val="Arial"/>
      <family val="2"/>
    </font>
    <font>
      <b/>
      <sz val="11"/>
      <name val="Arial"/>
      <family val="2"/>
    </font>
    <font>
      <sz val="10"/>
      <name val="Arial"/>
      <family val="2"/>
    </font>
    <font>
      <sz val="11"/>
      <color rgb="FFFF0000"/>
      <name val="Arial"/>
      <family val="2"/>
    </font>
    <font>
      <sz val="9"/>
      <color theme="3" tint="-0.249977111117893"/>
      <name val="Arial"/>
      <family val="2"/>
    </font>
    <font>
      <sz val="9"/>
      <color rgb="FFC00000"/>
      <name val="Arial"/>
      <family val="2"/>
    </font>
    <font>
      <sz val="9"/>
      <color rgb="FFFF0000"/>
      <name val="Arial"/>
      <family val="2"/>
    </font>
    <font>
      <sz val="9"/>
      <color theme="1"/>
      <name val="Arial"/>
      <family val="2"/>
    </font>
    <font>
      <b/>
      <sz val="16"/>
      <color rgb="FFFF0000"/>
      <name val="Arial"/>
      <family val="2"/>
    </font>
    <font>
      <strike/>
      <sz val="10"/>
      <name val="Arial"/>
      <family val="2"/>
    </font>
  </fonts>
  <fills count="13">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96969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s>
  <borders count="37">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ck">
        <color indexed="64"/>
      </right>
      <top/>
      <bottom style="thin">
        <color indexed="64"/>
      </bottom>
      <diagonal/>
    </border>
    <border>
      <left/>
      <right/>
      <top style="medium">
        <color indexed="64"/>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s>
  <cellStyleXfs count="4">
    <xf numFmtId="0" fontId="0" fillId="0" borderId="0"/>
    <xf numFmtId="0" fontId="2" fillId="0" borderId="0"/>
    <xf numFmtId="0" fontId="2" fillId="0" borderId="0"/>
    <xf numFmtId="0" fontId="3" fillId="0" borderId="0"/>
  </cellStyleXfs>
  <cellXfs count="241">
    <xf numFmtId="0" fontId="0" fillId="0" borderId="0" xfId="0"/>
    <xf numFmtId="0" fontId="3" fillId="0" borderId="0" xfId="3"/>
    <xf numFmtId="0" fontId="7" fillId="0" borderId="0" xfId="0" applyFont="1"/>
    <xf numFmtId="0" fontId="8" fillId="0" borderId="0" xfId="0" applyFont="1"/>
    <xf numFmtId="14" fontId="9" fillId="0" borderId="1" xfId="0" applyNumberFormat="1" applyFont="1" applyBorder="1" applyAlignment="1">
      <alignment horizontal="center" vertical="center"/>
    </xf>
    <xf numFmtId="14" fontId="8" fillId="0" borderId="2" xfId="0" applyNumberFormat="1" applyFont="1" applyBorder="1" applyAlignment="1">
      <alignment horizontal="center" vertical="center"/>
    </xf>
    <xf numFmtId="0" fontId="10" fillId="0" borderId="3" xfId="0" applyFont="1" applyBorder="1"/>
    <xf numFmtId="0" fontId="8" fillId="0" borderId="4"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0" fillId="0" borderId="5" xfId="0" applyFont="1" applyBorder="1"/>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8" fillId="0" borderId="3" xfId="0" applyFont="1" applyBorder="1"/>
    <xf numFmtId="0" fontId="8" fillId="0" borderId="0" xfId="0" applyFont="1" applyAlignment="1">
      <alignment horizontal="center"/>
    </xf>
    <xf numFmtId="0" fontId="8" fillId="0" borderId="6"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0" fillId="0" borderId="10" xfId="0" applyFont="1" applyBorder="1"/>
    <xf numFmtId="0" fontId="8" fillId="0" borderId="11" xfId="0" applyFont="1" applyBorder="1" applyAlignment="1">
      <alignment horizontal="center"/>
    </xf>
    <xf numFmtId="0" fontId="8" fillId="0" borderId="6" xfId="0" applyFont="1" applyBorder="1"/>
    <xf numFmtId="0" fontId="8" fillId="0" borderId="7" xfId="0" applyFont="1" applyBorder="1"/>
    <xf numFmtId="0" fontId="8" fillId="0" borderId="11" xfId="0" applyFont="1" applyBorder="1"/>
    <xf numFmtId="0" fontId="10" fillId="0" borderId="0" xfId="0" applyFont="1" applyBorder="1"/>
    <xf numFmtId="0" fontId="8" fillId="2" borderId="10" xfId="0" applyFont="1" applyFill="1" applyBorder="1" applyAlignment="1">
      <alignment horizontal="center"/>
    </xf>
    <xf numFmtId="0" fontId="8" fillId="0" borderId="12" xfId="0" applyFont="1" applyBorder="1" applyAlignment="1">
      <alignment horizontal="center"/>
    </xf>
    <xf numFmtId="0" fontId="8" fillId="2" borderId="6" xfId="0" applyFont="1" applyFill="1" applyBorder="1" applyAlignment="1">
      <alignment horizontal="center"/>
    </xf>
    <xf numFmtId="0" fontId="8" fillId="0" borderId="5" xfId="0" applyFont="1" applyBorder="1"/>
    <xf numFmtId="0" fontId="8" fillId="0" borderId="8" xfId="0" applyFont="1" applyBorder="1"/>
    <xf numFmtId="0" fontId="9" fillId="0" borderId="0" xfId="0" applyFont="1"/>
    <xf numFmtId="14" fontId="9" fillId="0" borderId="3" xfId="0" applyNumberFormat="1" applyFont="1" applyBorder="1" applyAlignment="1">
      <alignment horizontal="left"/>
    </xf>
    <xf numFmtId="0" fontId="7" fillId="0" borderId="0" xfId="0" applyFont="1" applyAlignment="1">
      <alignment horizontal="center" vertical="center"/>
    </xf>
    <xf numFmtId="0" fontId="12" fillId="0" borderId="10" xfId="0" applyFont="1" applyBorder="1" applyAlignment="1">
      <alignment horizontal="center" vertical="center"/>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4" borderId="0" xfId="0" applyFont="1" applyFill="1" applyBorder="1" applyAlignment="1">
      <alignment horizontal="center" vertical="center"/>
    </xf>
    <xf numFmtId="0" fontId="12" fillId="0" borderId="6" xfId="0" applyFont="1" applyBorder="1" applyAlignment="1">
      <alignment horizontal="center" vertical="center"/>
    </xf>
    <xf numFmtId="0" fontId="7" fillId="3" borderId="3" xfId="0" applyFont="1" applyFill="1" applyBorder="1" applyAlignment="1">
      <alignment horizontal="center" vertical="center"/>
    </xf>
    <xf numFmtId="0" fontId="7" fillId="4" borderId="3" xfId="0" applyFont="1" applyFill="1" applyBorder="1" applyAlignment="1">
      <alignment horizontal="center" vertical="center"/>
    </xf>
    <xf numFmtId="0" fontId="7" fillId="5" borderId="3" xfId="0" applyFont="1" applyFill="1" applyBorder="1" applyAlignment="1">
      <alignment horizontal="center" vertical="center"/>
    </xf>
    <xf numFmtId="0" fontId="7" fillId="3" borderId="5" xfId="0" applyFont="1" applyFill="1" applyBorder="1" applyAlignment="1">
      <alignment horizontal="center" vertical="center"/>
    </xf>
    <xf numFmtId="0" fontId="13" fillId="0" borderId="0" xfId="0" applyFont="1"/>
    <xf numFmtId="0" fontId="14" fillId="0" borderId="10" xfId="0" applyFont="1" applyBorder="1"/>
    <xf numFmtId="0" fontId="7" fillId="0" borderId="13" xfId="0" applyFont="1" applyBorder="1"/>
    <xf numFmtId="0" fontId="15" fillId="0" borderId="13" xfId="0" applyFont="1" applyBorder="1"/>
    <xf numFmtId="0" fontId="15" fillId="0" borderId="4" xfId="0" applyFont="1" applyBorder="1"/>
    <xf numFmtId="0" fontId="8" fillId="0" borderId="7" xfId="0" applyFont="1" applyBorder="1" applyAlignment="1">
      <alignment horizontal="center" vertical="center"/>
    </xf>
    <xf numFmtId="0" fontId="16" fillId="0" borderId="8" xfId="0" applyFont="1" applyBorder="1"/>
    <xf numFmtId="0" fontId="7" fillId="0" borderId="0" xfId="0" applyFont="1" applyBorder="1"/>
    <xf numFmtId="0" fontId="17" fillId="0" borderId="8" xfId="0" applyFont="1" applyBorder="1"/>
    <xf numFmtId="0" fontId="18" fillId="0" borderId="14" xfId="0" applyFont="1" applyBorder="1"/>
    <xf numFmtId="0" fontId="18" fillId="0" borderId="13" xfId="0" applyFont="1" applyBorder="1"/>
    <xf numFmtId="0" fontId="2" fillId="0" borderId="15" xfId="2" applyBorder="1"/>
    <xf numFmtId="0" fontId="2" fillId="0" borderId="0" xfId="2" applyBorder="1"/>
    <xf numFmtId="0" fontId="2" fillId="0" borderId="15" xfId="2" applyBorder="1" applyAlignment="1">
      <alignment horizontal="center"/>
    </xf>
    <xf numFmtId="0" fontId="5" fillId="0" borderId="10" xfId="2" applyFont="1" applyBorder="1" applyAlignment="1">
      <alignment horizontal="center"/>
    </xf>
    <xf numFmtId="0" fontId="7" fillId="0" borderId="16" xfId="0" applyFont="1" applyBorder="1"/>
    <xf numFmtId="0" fontId="7" fillId="0" borderId="17" xfId="0" applyFont="1" applyBorder="1"/>
    <xf numFmtId="0" fontId="7" fillId="0" borderId="18" xfId="0" applyFont="1" applyBorder="1"/>
    <xf numFmtId="0" fontId="7" fillId="0" borderId="19" xfId="0" applyFont="1" applyBorder="1"/>
    <xf numFmtId="16" fontId="7" fillId="0" borderId="16" xfId="0" applyNumberFormat="1" applyFont="1" applyBorder="1"/>
    <xf numFmtId="0" fontId="20" fillId="0" borderId="20" xfId="0" applyFont="1" applyBorder="1"/>
    <xf numFmtId="0" fontId="9" fillId="0" borderId="0" xfId="0" applyFont="1" applyBorder="1"/>
    <xf numFmtId="0" fontId="8" fillId="0" borderId="10" xfId="0" quotePrefix="1" applyFont="1" applyBorder="1" applyAlignment="1">
      <alignment horizontal="center"/>
    </xf>
    <xf numFmtId="0" fontId="1" fillId="0" borderId="10" xfId="0" applyFont="1" applyBorder="1" applyAlignment="1">
      <alignment horizontal="center"/>
    </xf>
    <xf numFmtId="0" fontId="2" fillId="0" borderId="0" xfId="2" applyBorder="1" applyAlignment="1">
      <alignment horizontal="center"/>
    </xf>
    <xf numFmtId="0" fontId="2" fillId="0" borderId="0" xfId="2"/>
    <xf numFmtId="0" fontId="2" fillId="0" borderId="3" xfId="2" applyFont="1" applyBorder="1"/>
    <xf numFmtId="0" fontId="2" fillId="0" borderId="10" xfId="2" quotePrefix="1" applyFont="1" applyBorder="1" applyAlignment="1">
      <alignment horizontal="center"/>
    </xf>
    <xf numFmtId="0" fontId="2" fillId="0" borderId="10" xfId="2" applyBorder="1" applyAlignment="1">
      <alignment horizontal="center"/>
    </xf>
    <xf numFmtId="0" fontId="2" fillId="0" borderId="10" xfId="2" quotePrefix="1" applyBorder="1" applyAlignment="1">
      <alignment horizontal="center"/>
    </xf>
    <xf numFmtId="0" fontId="5" fillId="0" borderId="8" xfId="2" applyFont="1" applyBorder="1"/>
    <xf numFmtId="0" fontId="2" fillId="5" borderId="0" xfId="2" applyFill="1" applyBorder="1" applyAlignment="1">
      <alignment horizontal="center"/>
    </xf>
    <xf numFmtId="0" fontId="2" fillId="3" borderId="0" xfId="2" applyFill="1" applyBorder="1" applyAlignment="1">
      <alignment horizontal="center"/>
    </xf>
    <xf numFmtId="0" fontId="2" fillId="4" borderId="0" xfId="2" applyFill="1" applyBorder="1" applyAlignment="1">
      <alignment horizontal="center"/>
    </xf>
    <xf numFmtId="0" fontId="2" fillId="8" borderId="0" xfId="2" applyFill="1" applyBorder="1" applyAlignment="1">
      <alignment horizontal="center"/>
    </xf>
    <xf numFmtId="0" fontId="2" fillId="9" borderId="0" xfId="2" applyFill="1" applyBorder="1" applyAlignment="1">
      <alignment horizontal="center"/>
    </xf>
    <xf numFmtId="0" fontId="2" fillId="0" borderId="8" xfId="2" applyFont="1" applyBorder="1"/>
    <xf numFmtId="0" fontId="2" fillId="0" borderId="0" xfId="2" applyFont="1" applyBorder="1"/>
    <xf numFmtId="0" fontId="2" fillId="0" borderId="10" xfId="2" applyFont="1" applyBorder="1" applyAlignment="1">
      <alignment horizontal="center"/>
    </xf>
    <xf numFmtId="0" fontId="2" fillId="0" borderId="0" xfId="2" applyFont="1"/>
    <xf numFmtId="0" fontId="2" fillId="0" borderId="9" xfId="2" applyFont="1" applyBorder="1"/>
    <xf numFmtId="0" fontId="2" fillId="0" borderId="21" xfId="2" applyFont="1" applyBorder="1"/>
    <xf numFmtId="0" fontId="2" fillId="0" borderId="21" xfId="2" applyFont="1" applyBorder="1" applyAlignment="1">
      <alignment horizontal="center"/>
    </xf>
    <xf numFmtId="0" fontId="2" fillId="0" borderId="0" xfId="2" applyFont="1" applyBorder="1" applyAlignment="1">
      <alignment horizontal="center"/>
    </xf>
    <xf numFmtId="0" fontId="2" fillId="0" borderId="10" xfId="2" applyFont="1" applyFill="1" applyBorder="1" applyAlignment="1">
      <alignment horizontal="center"/>
    </xf>
    <xf numFmtId="0" fontId="2" fillId="0" borderId="21" xfId="2" applyFont="1" applyFill="1" applyBorder="1" applyAlignment="1">
      <alignment horizontal="center"/>
    </xf>
    <xf numFmtId="0" fontId="2" fillId="0" borderId="0" xfId="2" applyFont="1" applyFill="1" applyBorder="1" applyAlignment="1">
      <alignment horizontal="center"/>
    </xf>
    <xf numFmtId="0" fontId="5" fillId="0" borderId="6" xfId="0" applyFont="1" applyBorder="1"/>
    <xf numFmtId="0" fontId="5" fillId="0" borderId="5" xfId="2" applyFont="1" applyBorder="1"/>
    <xf numFmtId="0" fontId="2" fillId="0" borderId="0" xfId="2" applyAlignment="1">
      <alignment horizontal="center"/>
    </xf>
    <xf numFmtId="0" fontId="8" fillId="0" borderId="2" xfId="0" quotePrefix="1" applyFont="1" applyBorder="1" applyAlignment="1">
      <alignment horizontal="center" vertical="center"/>
    </xf>
    <xf numFmtId="0" fontId="9" fillId="0" borderId="0" xfId="0" applyFont="1" applyAlignment="1">
      <alignment horizontal="center"/>
    </xf>
    <xf numFmtId="0" fontId="10" fillId="0" borderId="0" xfId="0" applyFont="1" applyBorder="1" applyAlignment="1">
      <alignment horizontal="center"/>
    </xf>
    <xf numFmtId="0" fontId="10" fillId="2" borderId="10" xfId="0" applyFont="1" applyFill="1" applyBorder="1" applyAlignment="1">
      <alignment horizontal="center"/>
    </xf>
    <xf numFmtId="0" fontId="10" fillId="2" borderId="6" xfId="0" applyFont="1" applyFill="1" applyBorder="1" applyAlignment="1">
      <alignment horizontal="center"/>
    </xf>
    <xf numFmtId="0" fontId="8" fillId="0" borderId="9" xfId="0" applyFont="1" applyBorder="1"/>
    <xf numFmtId="0" fontId="14" fillId="0" borderId="22" xfId="0" applyFont="1" applyBorder="1"/>
    <xf numFmtId="0" fontId="7" fillId="0" borderId="23" xfId="0" applyFont="1" applyBorder="1"/>
    <xf numFmtId="0" fontId="7" fillId="0" borderId="23" xfId="0" applyFont="1" applyBorder="1" applyAlignment="1">
      <alignment horizontal="center" vertical="center"/>
    </xf>
    <xf numFmtId="0" fontId="7" fillId="0" borderId="24" xfId="0" applyFont="1" applyBorder="1"/>
    <xf numFmtId="0" fontId="7" fillId="0" borderId="25" xfId="0" applyFont="1" applyBorder="1"/>
    <xf numFmtId="0" fontId="13" fillId="0" borderId="25" xfId="0" applyFont="1" applyBorder="1"/>
    <xf numFmtId="0" fontId="13" fillId="0" borderId="17" xfId="0" applyFont="1" applyBorder="1"/>
    <xf numFmtId="0" fontId="7" fillId="0" borderId="15" xfId="0" applyFont="1" applyBorder="1"/>
    <xf numFmtId="0" fontId="11" fillId="0" borderId="0" xfId="0" applyFont="1" applyBorder="1"/>
    <xf numFmtId="0" fontId="7" fillId="3" borderId="0" xfId="0" applyFont="1" applyFill="1" applyBorder="1" applyAlignment="1">
      <alignment horizontal="center" vertical="center"/>
    </xf>
    <xf numFmtId="0" fontId="7" fillId="5" borderId="0" xfId="0" applyFont="1" applyFill="1" applyBorder="1" applyAlignment="1">
      <alignment horizontal="center" vertical="center"/>
    </xf>
    <xf numFmtId="0" fontId="7" fillId="0" borderId="26" xfId="0" applyFont="1" applyBorder="1"/>
    <xf numFmtId="0" fontId="7" fillId="0" borderId="18" xfId="0" applyFont="1" applyBorder="1" applyAlignment="1">
      <alignment horizontal="center" vertical="center"/>
    </xf>
    <xf numFmtId="0" fontId="20" fillId="0" borderId="15" xfId="0" applyFont="1" applyBorder="1" applyAlignment="1">
      <alignment vertical="center"/>
    </xf>
    <xf numFmtId="0" fontId="20" fillId="0" borderId="20" xfId="0" applyFont="1" applyBorder="1" applyAlignment="1">
      <alignment vertical="center"/>
    </xf>
    <xf numFmtId="0" fontId="23" fillId="0" borderId="8" xfId="0" applyFont="1" applyBorder="1"/>
    <xf numFmtId="0" fontId="21" fillId="0" borderId="8" xfId="0" applyFont="1" applyBorder="1"/>
    <xf numFmtId="0" fontId="2" fillId="0" borderId="18" xfId="2" applyBorder="1"/>
    <xf numFmtId="0" fontId="6" fillId="6" borderId="22" xfId="2" applyFont="1" applyFill="1" applyBorder="1"/>
    <xf numFmtId="0" fontId="22" fillId="0" borderId="5" xfId="2" applyFont="1" applyBorder="1"/>
    <xf numFmtId="0" fontId="22" fillId="0" borderId="3" xfId="2" applyFont="1" applyBorder="1"/>
    <xf numFmtId="0" fontId="22" fillId="0" borderId="3" xfId="2" applyFont="1" applyBorder="1" applyAlignment="1">
      <alignment horizontal="right"/>
    </xf>
    <xf numFmtId="16" fontId="2" fillId="0" borderId="10" xfId="2" quotePrefix="1" applyNumberFormat="1" applyBorder="1" applyAlignment="1">
      <alignment horizontal="center"/>
    </xf>
    <xf numFmtId="0" fontId="22" fillId="0" borderId="10" xfId="2" applyFont="1" applyBorder="1" applyAlignment="1">
      <alignment horizontal="center"/>
    </xf>
    <xf numFmtId="0" fontId="2" fillId="10" borderId="1" xfId="2" applyFill="1" applyBorder="1" applyAlignment="1">
      <alignment horizontal="center"/>
    </xf>
    <xf numFmtId="0" fontId="22" fillId="0" borderId="10" xfId="2" applyFont="1" applyFill="1" applyBorder="1" applyAlignment="1">
      <alignment horizontal="center"/>
    </xf>
    <xf numFmtId="49" fontId="2" fillId="0" borderId="0" xfId="2" applyNumberFormat="1" applyFont="1"/>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21" xfId="0" applyFont="1" applyBorder="1"/>
    <xf numFmtId="0" fontId="10" fillId="0" borderId="6" xfId="0" applyFont="1" applyBorder="1"/>
    <xf numFmtId="0" fontId="8" fillId="0" borderId="1" xfId="0" applyFont="1" applyBorder="1"/>
    <xf numFmtId="0" fontId="10" fillId="0" borderId="1" xfId="0" applyFont="1" applyBorder="1"/>
    <xf numFmtId="0" fontId="1" fillId="0" borderId="10" xfId="0" quotePrefix="1" applyFont="1" applyBorder="1" applyAlignment="1">
      <alignment horizontal="center"/>
    </xf>
    <xf numFmtId="0" fontId="7" fillId="0" borderId="3" xfId="0" applyFont="1" applyBorder="1"/>
    <xf numFmtId="0" fontId="7" fillId="0" borderId="2" xfId="0" applyFont="1" applyBorder="1"/>
    <xf numFmtId="0" fontId="7" fillId="0" borderId="21" xfId="0" applyFont="1" applyBorder="1"/>
    <xf numFmtId="0" fontId="1" fillId="0" borderId="3" xfId="0" applyFont="1" applyBorder="1"/>
    <xf numFmtId="0" fontId="1" fillId="0" borderId="2" xfId="0" applyFont="1" applyBorder="1"/>
    <xf numFmtId="0" fontId="1" fillId="0" borderId="0" xfId="0" applyFont="1" applyBorder="1"/>
    <xf numFmtId="0" fontId="1" fillId="0" borderId="1" xfId="0" applyFont="1" applyBorder="1"/>
    <xf numFmtId="0" fontId="1" fillId="0" borderId="21" xfId="0" applyFont="1" applyBorder="1" applyAlignment="1">
      <alignment vertical="center"/>
    </xf>
    <xf numFmtId="0" fontId="1" fillId="0" borderId="21" xfId="0" applyFont="1" applyBorder="1"/>
    <xf numFmtId="0" fontId="1" fillId="0" borderId="12" xfId="0" applyFont="1" applyBorder="1"/>
    <xf numFmtId="0" fontId="1" fillId="0" borderId="0" xfId="0" applyFont="1" applyBorder="1" applyAlignment="1">
      <alignment vertical="center"/>
    </xf>
    <xf numFmtId="0" fontId="1" fillId="0" borderId="3" xfId="0" applyFont="1" applyBorder="1" applyAlignment="1">
      <alignment vertical="center"/>
    </xf>
    <xf numFmtId="0" fontId="7" fillId="4" borderId="21" xfId="0" applyFont="1" applyFill="1" applyBorder="1" applyAlignment="1">
      <alignment horizontal="center" vertical="center"/>
    </xf>
    <xf numFmtId="0" fontId="7" fillId="4" borderId="12"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12" xfId="0" applyFont="1" applyFill="1" applyBorder="1" applyAlignment="1">
      <alignment horizontal="center" vertical="center"/>
    </xf>
    <xf numFmtId="0" fontId="7" fillId="3" borderId="7" xfId="0" applyFont="1" applyFill="1" applyBorder="1" applyAlignment="1">
      <alignment horizontal="center" vertical="center"/>
    </xf>
    <xf numFmtId="0" fontId="7" fillId="4" borderId="14" xfId="0" applyFont="1" applyFill="1" applyBorder="1" applyAlignment="1">
      <alignment horizontal="center" vertical="center"/>
    </xf>
    <xf numFmtId="0" fontId="12" fillId="0" borderId="14" xfId="0" applyFont="1" applyBorder="1" applyAlignment="1">
      <alignment horizontal="center" vertical="center"/>
    </xf>
    <xf numFmtId="0" fontId="7" fillId="5" borderId="9" xfId="0" applyFont="1" applyFill="1" applyBorder="1" applyAlignment="1">
      <alignment horizontal="center" vertical="center"/>
    </xf>
    <xf numFmtId="0" fontId="7" fillId="5" borderId="14" xfId="0" applyFont="1" applyFill="1" applyBorder="1" applyAlignment="1">
      <alignment horizontal="center" vertical="center"/>
    </xf>
    <xf numFmtId="0" fontId="7" fillId="0" borderId="3" xfId="0" applyFont="1" applyBorder="1" applyAlignment="1">
      <alignment horizontal="left" vertical="center"/>
    </xf>
    <xf numFmtId="0" fontId="20" fillId="0" borderId="27" xfId="0" applyFont="1" applyBorder="1" applyAlignment="1">
      <alignment vertical="center"/>
    </xf>
    <xf numFmtId="0" fontId="8" fillId="11" borderId="0" xfId="0" applyFont="1" applyFill="1" applyAlignment="1">
      <alignment horizont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10" borderId="1" xfId="0" applyFont="1" applyFill="1" applyBorder="1" applyAlignment="1">
      <alignment horizontal="center" vertical="center"/>
    </xf>
    <xf numFmtId="0" fontId="7" fillId="10" borderId="8" xfId="0" applyFont="1" applyFill="1" applyBorder="1" applyAlignment="1">
      <alignment horizontal="center" vertical="center"/>
    </xf>
    <xf numFmtId="0" fontId="7" fillId="9" borderId="11" xfId="0" applyFont="1" applyFill="1" applyBorder="1" applyAlignment="1">
      <alignment horizontal="center" vertical="center"/>
    </xf>
    <xf numFmtId="0" fontId="17" fillId="0" borderId="8" xfId="0" applyFont="1" applyBorder="1" applyAlignment="1">
      <alignment horizontal="left"/>
    </xf>
    <xf numFmtId="0" fontId="24" fillId="0" borderId="0" xfId="0" applyFont="1" applyAlignment="1">
      <alignment horizontal="center"/>
    </xf>
    <xf numFmtId="0" fontId="24" fillId="0" borderId="0" xfId="0" applyFont="1" applyFill="1" applyAlignment="1">
      <alignment horizontal="center"/>
    </xf>
    <xf numFmtId="0" fontId="24" fillId="11" borderId="0" xfId="0" applyFont="1" applyFill="1" applyAlignment="1">
      <alignment horizontal="center"/>
    </xf>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25" fillId="2" borderId="10" xfId="0" applyFont="1" applyFill="1" applyBorder="1" applyAlignment="1">
      <alignment horizontal="center"/>
    </xf>
    <xf numFmtId="0" fontId="25" fillId="2" borderId="6" xfId="0" applyFont="1" applyFill="1" applyBorder="1" applyAlignment="1">
      <alignment horizontal="center"/>
    </xf>
    <xf numFmtId="0" fontId="8" fillId="0" borderId="6" xfId="0" applyFont="1" applyFill="1" applyBorder="1" applyAlignment="1">
      <alignment horizontal="center"/>
    </xf>
    <xf numFmtId="0" fontId="8" fillId="0" borderId="2" xfId="0" quotePrefix="1" applyFont="1" applyFill="1" applyBorder="1" applyAlignment="1">
      <alignment horizontal="left"/>
    </xf>
    <xf numFmtId="0" fontId="26" fillId="0" borderId="0" xfId="0" applyFont="1"/>
    <xf numFmtId="0" fontId="2" fillId="0" borderId="0" xfId="2" applyFont="1" applyFill="1" applyBorder="1" applyAlignment="1">
      <alignment horizontal="center" vertical="center"/>
    </xf>
    <xf numFmtId="49" fontId="2" fillId="0" borderId="0" xfId="2" applyNumberFormat="1" applyFont="1" applyFill="1" applyBorder="1" applyAlignment="1">
      <alignment horizontal="center" vertical="center"/>
    </xf>
    <xf numFmtId="0" fontId="5" fillId="0" borderId="0" xfId="2" applyFont="1" applyFill="1" applyBorder="1" applyAlignment="1">
      <alignment horizontal="left" vertical="center"/>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2" fillId="0" borderId="0" xfId="2" applyFont="1" applyFill="1" applyBorder="1"/>
    <xf numFmtId="0" fontId="3" fillId="0" borderId="15" xfId="3" applyBorder="1"/>
    <xf numFmtId="0" fontId="3" fillId="0" borderId="0" xfId="3" applyBorder="1"/>
    <xf numFmtId="0" fontId="3" fillId="0" borderId="17" xfId="3" applyBorder="1"/>
    <xf numFmtId="0" fontId="3" fillId="0" borderId="26" xfId="3" applyBorder="1"/>
    <xf numFmtId="0" fontId="3" fillId="0" borderId="18" xfId="3" applyBorder="1"/>
    <xf numFmtId="0" fontId="3" fillId="0" borderId="19" xfId="3" applyBorder="1"/>
    <xf numFmtId="0" fontId="27" fillId="0" borderId="0" xfId="0" applyFont="1" applyAlignment="1">
      <alignment horizontal="center" vertical="center"/>
    </xf>
    <xf numFmtId="0" fontId="27" fillId="0" borderId="0" xfId="0" applyFont="1"/>
    <xf numFmtId="0" fontId="27" fillId="0" borderId="0" xfId="0" applyFont="1" applyAlignment="1">
      <alignment horizontal="center"/>
    </xf>
    <xf numFmtId="0" fontId="27" fillId="12" borderId="10" xfId="0" applyFont="1" applyFill="1" applyBorder="1" applyAlignment="1">
      <alignment horizontal="center" vertical="center"/>
    </xf>
    <xf numFmtId="0" fontId="27" fillId="12" borderId="13" xfId="0" applyFont="1" applyFill="1" applyBorder="1"/>
    <xf numFmtId="0" fontId="27" fillId="12" borderId="10" xfId="0" applyFont="1" applyFill="1" applyBorder="1" applyAlignment="1">
      <alignment horizontal="center"/>
    </xf>
    <xf numFmtId="0" fontId="27" fillId="0" borderId="0" xfId="0" applyFont="1" applyBorder="1"/>
    <xf numFmtId="0" fontId="27" fillId="0" borderId="7" xfId="0" applyFont="1" applyBorder="1" applyAlignment="1">
      <alignment horizontal="center" vertical="center"/>
    </xf>
    <xf numFmtId="0" fontId="27" fillId="0" borderId="7" xfId="0" applyFont="1" applyBorder="1" applyAlignment="1">
      <alignment horizontal="center"/>
    </xf>
    <xf numFmtId="0" fontId="27" fillId="0" borderId="11" xfId="0" applyFont="1" applyBorder="1" applyAlignment="1">
      <alignment horizontal="center" vertical="center"/>
    </xf>
    <xf numFmtId="0" fontId="27" fillId="0" borderId="21" xfId="0" applyFont="1" applyBorder="1"/>
    <xf numFmtId="0" fontId="27" fillId="0" borderId="11" xfId="0" applyFont="1" applyBorder="1" applyAlignment="1">
      <alignment horizontal="center"/>
    </xf>
    <xf numFmtId="0" fontId="27" fillId="0" borderId="0" xfId="0" applyFont="1" applyAlignment="1">
      <alignment vertical="center" wrapText="1"/>
    </xf>
    <xf numFmtId="14" fontId="2" fillId="0" borderId="13" xfId="2" applyNumberFormat="1" applyFont="1" applyBorder="1" applyAlignment="1"/>
    <xf numFmtId="0" fontId="2" fillId="6" borderId="28" xfId="2" applyFill="1" applyBorder="1" applyAlignment="1"/>
    <xf numFmtId="0" fontId="27" fillId="0" borderId="0" xfId="0" applyFont="1" applyAlignment="1">
      <alignment horizontal="left" vertical="center" wrapText="1"/>
    </xf>
    <xf numFmtId="0" fontId="5" fillId="0" borderId="10" xfId="2" applyFont="1" applyBorder="1" applyAlignment="1">
      <alignment horizontal="center" vertical="center" wrapText="1"/>
    </xf>
    <xf numFmtId="0" fontId="7" fillId="0" borderId="0" xfId="0" applyFont="1"/>
    <xf numFmtId="0" fontId="2" fillId="0" borderId="15" xfId="2" applyBorder="1" applyAlignment="1">
      <alignment horizontal="center"/>
    </xf>
    <xf numFmtId="16" fontId="7" fillId="0" borderId="16" xfId="0" applyNumberFormat="1" applyFont="1" applyBorder="1"/>
    <xf numFmtId="14" fontId="2" fillId="0" borderId="13" xfId="2" applyNumberFormat="1" applyFont="1" applyBorder="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pplyBorder="1" applyAlignment="1">
      <alignment horizontal="center"/>
    </xf>
    <xf numFmtId="0" fontId="2" fillId="0" borderId="4" xfId="2" applyFont="1" applyFill="1" applyBorder="1" applyAlignment="1">
      <alignment horizontal="center"/>
    </xf>
    <xf numFmtId="0" fontId="2" fillId="0" borderId="6" xfId="2" applyFont="1" applyFill="1" applyBorder="1" applyAlignment="1">
      <alignment horizontal="center"/>
    </xf>
    <xf numFmtId="0" fontId="29" fillId="0" borderId="8" xfId="2" applyFont="1" applyBorder="1"/>
    <xf numFmtId="0" fontId="29" fillId="0" borderId="6" xfId="2" applyFont="1" applyFill="1" applyBorder="1" applyAlignment="1">
      <alignment horizontal="center"/>
    </xf>
    <xf numFmtId="0" fontId="29" fillId="0" borderId="10" xfId="2" applyFont="1" applyFill="1" applyBorder="1" applyAlignment="1">
      <alignment horizontal="center"/>
    </xf>
    <xf numFmtId="0" fontId="3" fillId="7" borderId="29" xfId="3" applyFill="1" applyBorder="1" applyAlignment="1">
      <alignment horizontal="center" vertical="top" wrapText="1"/>
    </xf>
    <xf numFmtId="0" fontId="3" fillId="7" borderId="30" xfId="3" applyFill="1" applyBorder="1" applyAlignment="1">
      <alignment horizontal="center" vertical="top" wrapText="1"/>
    </xf>
    <xf numFmtId="0" fontId="3" fillId="7" borderId="31" xfId="3" applyFill="1" applyBorder="1" applyAlignment="1">
      <alignment horizontal="center" vertical="top" wrapText="1"/>
    </xf>
    <xf numFmtId="0" fontId="3" fillId="7" borderId="32" xfId="3" applyFill="1" applyBorder="1" applyAlignment="1">
      <alignment horizontal="center" vertical="top" wrapText="1"/>
    </xf>
    <xf numFmtId="0" fontId="3" fillId="7" borderId="0" xfId="3" applyFill="1" applyBorder="1" applyAlignment="1">
      <alignment horizontal="center" vertical="top" wrapText="1"/>
    </xf>
    <xf numFmtId="0" fontId="3" fillId="7" borderId="33" xfId="3" applyFill="1" applyBorder="1" applyAlignment="1">
      <alignment horizontal="center" vertical="top" wrapText="1"/>
    </xf>
    <xf numFmtId="0" fontId="3" fillId="7" borderId="34" xfId="3" applyFill="1" applyBorder="1" applyAlignment="1">
      <alignment horizontal="center" vertical="top" wrapText="1"/>
    </xf>
    <xf numFmtId="0" fontId="3" fillId="7" borderId="35" xfId="3" applyFill="1" applyBorder="1" applyAlignment="1">
      <alignment horizontal="center" vertical="top" wrapText="1"/>
    </xf>
    <xf numFmtId="0" fontId="3" fillId="7" borderId="36" xfId="3" applyFill="1" applyBorder="1" applyAlignment="1">
      <alignment horizontal="center" vertical="top"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6" fillId="6" borderId="28" xfId="2" applyFont="1" applyFill="1" applyBorder="1" applyAlignment="1">
      <alignment horizontal="right"/>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2" fillId="0" borderId="14" xfId="2" applyFont="1" applyBorder="1" applyAlignment="1">
      <alignment horizontal="left" vertical="center" wrapText="1"/>
    </xf>
    <xf numFmtId="0" fontId="2" fillId="0" borderId="13" xfId="2" applyFont="1" applyBorder="1" applyAlignment="1">
      <alignment horizontal="left" vertical="center" wrapText="1"/>
    </xf>
  </cellXfs>
  <cellStyles count="4">
    <cellStyle name="Normal" xfId="0" builtinId="0"/>
    <cellStyle name="Normal 2" xfId="1" xr:uid="{00000000-0005-0000-0000-000001000000}"/>
    <cellStyle name="Normal_P241 cortec" xfId="2" xr:uid="{00000000-0005-0000-0000-000002000000}"/>
    <cellStyle name="Normal_Template" xfId="3" xr:uid="{00000000-0005-0000-0000-000003000000}"/>
  </cellStyles>
  <dxfs count="1">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ist" dx="16" fmlaLink="Language!$A$3" fmlaRange="Language!$B$4:$B$6" noThreeD="1" sel="1" val="0"/>
</file>

<file path=xl/ctrlProps/ctrlProp10.xml><?xml version="1.0" encoding="utf-8"?>
<formControlPr xmlns="http://schemas.microsoft.com/office/spreadsheetml/2009/9/main" objectType="CheckBox" fmlaLink="Database!E$28" lockText="1"/>
</file>

<file path=xl/ctrlProps/ctrlProp11.xml><?xml version="1.0" encoding="utf-8"?>
<formControlPr xmlns="http://schemas.microsoft.com/office/spreadsheetml/2009/9/main" objectType="CheckBox" fmlaLink="Database!E$29" lockText="1"/>
</file>

<file path=xl/ctrlProps/ctrlProp12.xml><?xml version="1.0" encoding="utf-8"?>
<formControlPr xmlns="http://schemas.microsoft.com/office/spreadsheetml/2009/9/main" objectType="CheckBox" fmlaLink="Database!E$30" lockText="1"/>
</file>

<file path=xl/ctrlProps/ctrlProp13.xml><?xml version="1.0" encoding="utf-8"?>
<formControlPr xmlns="http://schemas.microsoft.com/office/spreadsheetml/2009/9/main" objectType="CheckBox" fmlaLink="Database!E$36" lockText="1"/>
</file>

<file path=xl/ctrlProps/ctrlProp14.xml><?xml version="1.0" encoding="utf-8"?>
<formControlPr xmlns="http://schemas.microsoft.com/office/spreadsheetml/2009/9/main" objectType="CheckBox" fmlaLink="Database!$E$37" lockText="1"/>
</file>

<file path=xl/ctrlProps/ctrlProp15.xml><?xml version="1.0" encoding="utf-8"?>
<formControlPr xmlns="http://schemas.microsoft.com/office/spreadsheetml/2009/9/main" objectType="CheckBox" fmlaLink="Database!$E$38" lockText="1"/>
</file>

<file path=xl/ctrlProps/ctrlProp16.xml><?xml version="1.0" encoding="utf-8"?>
<formControlPr xmlns="http://schemas.microsoft.com/office/spreadsheetml/2009/9/main" objectType="CheckBox" fmlaLink="Database!$E$39" lockText="1"/>
</file>

<file path=xl/ctrlProps/ctrlProp17.xml><?xml version="1.0" encoding="utf-8"?>
<formControlPr xmlns="http://schemas.microsoft.com/office/spreadsheetml/2009/9/main" objectType="CheckBox" fmlaLink="Database!$E$18" lockText="1"/>
</file>

<file path=xl/ctrlProps/ctrlProp18.xml><?xml version="1.0" encoding="utf-8"?>
<formControlPr xmlns="http://schemas.microsoft.com/office/spreadsheetml/2009/9/main" objectType="CheckBox" fmlaLink="Database!$E$19" lockText="1"/>
</file>

<file path=xl/ctrlProps/ctrlProp2.xml><?xml version="1.0" encoding="utf-8"?>
<formControlPr xmlns="http://schemas.microsoft.com/office/spreadsheetml/2009/9/main" objectType="List" dx="16" fmlaLink="Database!$B$3" fmlaRange="Database!$C$4:$C$5" noThreeD="1" sel="1" val="0"/>
</file>

<file path=xl/ctrlProps/ctrlProp3.xml><?xml version="1.0" encoding="utf-8"?>
<formControlPr xmlns="http://schemas.microsoft.com/office/spreadsheetml/2009/9/main" objectType="List" dx="16" fmlaLink="Database!$B$10" fmlaRange="Database!$C$11:$C$12" noThreeD="1" sel="1" val="0"/>
</file>

<file path=xl/ctrlProps/ctrlProp4.xml><?xml version="1.0" encoding="utf-8"?>
<formControlPr xmlns="http://schemas.microsoft.com/office/spreadsheetml/2009/9/main" objectType="List" dx="16" fmlaLink="Database!$B$45" fmlaRange="Database!$C$46" noThreeD="1" sel="1" val="0"/>
</file>

<file path=xl/ctrlProps/ctrlProp5.xml><?xml version="1.0" encoding="utf-8"?>
<formControlPr xmlns="http://schemas.microsoft.com/office/spreadsheetml/2009/9/main" objectType="List" dx="16" fmlaLink="Database!$B$53" fmlaRange="Database!$C$54" noThreeD="1" sel="1" val="0"/>
</file>

<file path=xl/ctrlProps/ctrlProp6.xml><?xml version="1.0" encoding="utf-8"?>
<formControlPr xmlns="http://schemas.microsoft.com/office/spreadsheetml/2009/9/main" objectType="List" dx="16" fmlaLink="Database!$B$60" fmlaRange="Database!$C$61" noThreeD="1" sel="1" val="0"/>
</file>

<file path=xl/ctrlProps/ctrlProp7.xml><?xml version="1.0" encoding="utf-8"?>
<formControlPr xmlns="http://schemas.microsoft.com/office/spreadsheetml/2009/9/main" objectType="CheckBox" fmlaLink="Database!$E$18" lockText="1"/>
</file>

<file path=xl/ctrlProps/ctrlProp8.xml><?xml version="1.0" encoding="utf-8"?>
<formControlPr xmlns="http://schemas.microsoft.com/office/spreadsheetml/2009/9/main" objectType="CheckBox" fmlaLink="Database!$E$20" lockText="1"/>
</file>

<file path=xl/ctrlProps/ctrlProp9.xml><?xml version="1.0" encoding="utf-8"?>
<formControlPr xmlns="http://schemas.microsoft.com/office/spreadsheetml/2009/9/main" objectType="CheckBox" fmlaLink="Database!E$27"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47625</xdr:rowOff>
        </xdr:from>
        <xdr:to>
          <xdr:col>3</xdr:col>
          <xdr:colOff>752475</xdr:colOff>
          <xdr:row>15</xdr:row>
          <xdr:rowOff>0</xdr:rowOff>
        </xdr:to>
        <xdr:sp macro="" textlink="">
          <xdr:nvSpPr>
            <xdr:cNvPr id="5121" name="List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5</xdr:col>
          <xdr:colOff>762000</xdr:colOff>
          <xdr:row>4</xdr:row>
          <xdr:rowOff>323850</xdr:rowOff>
        </xdr:to>
        <xdr:sp macro="" textlink="">
          <xdr:nvSpPr>
            <xdr:cNvPr id="8194" name="List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6</xdr:col>
          <xdr:colOff>0</xdr:colOff>
          <xdr:row>7</xdr:row>
          <xdr:rowOff>0</xdr:rowOff>
        </xdr:to>
        <xdr:sp macro="" textlink="">
          <xdr:nvSpPr>
            <xdr:cNvPr id="8197" name="List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6</xdr:col>
          <xdr:colOff>0</xdr:colOff>
          <xdr:row>21</xdr:row>
          <xdr:rowOff>0</xdr:rowOff>
        </xdr:to>
        <xdr:sp macro="" textlink="">
          <xdr:nvSpPr>
            <xdr:cNvPr id="8207" name="List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6</xdr:col>
          <xdr:colOff>0</xdr:colOff>
          <xdr:row>23</xdr:row>
          <xdr:rowOff>0</xdr:rowOff>
        </xdr:to>
        <xdr:sp macro="" textlink="">
          <xdr:nvSpPr>
            <xdr:cNvPr id="8211" name="List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6</xdr:col>
          <xdr:colOff>0</xdr:colOff>
          <xdr:row>25</xdr:row>
          <xdr:rowOff>0</xdr:rowOff>
        </xdr:to>
        <xdr:sp macro="" textlink="">
          <xdr:nvSpPr>
            <xdr:cNvPr id="8213" name="List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9525</xdr:rowOff>
        </xdr:from>
        <xdr:to>
          <xdr:col>1</xdr:col>
          <xdr:colOff>19050</xdr:colOff>
          <xdr:row>9</xdr:row>
          <xdr:rowOff>228600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9525</xdr:rowOff>
        </xdr:from>
        <xdr:to>
          <xdr:col>1</xdr:col>
          <xdr:colOff>19050</xdr:colOff>
          <xdr:row>10</xdr:row>
          <xdr:rowOff>228600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9525</xdr:rowOff>
        </xdr:from>
        <xdr:to>
          <xdr:col>1</xdr:col>
          <xdr:colOff>19050</xdr:colOff>
          <xdr:row>11</xdr:row>
          <xdr:rowOff>228600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9525</xdr:rowOff>
        </xdr:from>
        <xdr:to>
          <xdr:col>1</xdr:col>
          <xdr:colOff>19050</xdr:colOff>
          <xdr:row>12</xdr:row>
          <xdr:rowOff>228600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xdr:row>
          <xdr:rowOff>9525</xdr:rowOff>
        </xdr:from>
        <xdr:to>
          <xdr:col>1</xdr:col>
          <xdr:colOff>19050</xdr:colOff>
          <xdr:row>13</xdr:row>
          <xdr:rowOff>228600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2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9525</xdr:rowOff>
        </xdr:from>
        <xdr:to>
          <xdr:col>1</xdr:col>
          <xdr:colOff>19050</xdr:colOff>
          <xdr:row>14</xdr:row>
          <xdr:rowOff>228600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9525</xdr:rowOff>
        </xdr:from>
        <xdr:to>
          <xdr:col>1</xdr:col>
          <xdr:colOff>19050</xdr:colOff>
          <xdr:row>15</xdr:row>
          <xdr:rowOff>228600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9525</xdr:rowOff>
        </xdr:from>
        <xdr:to>
          <xdr:col>1</xdr:col>
          <xdr:colOff>19050</xdr:colOff>
          <xdr:row>16</xdr:row>
          <xdr:rowOff>228600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9525</xdr:rowOff>
        </xdr:from>
        <xdr:to>
          <xdr:col>1</xdr:col>
          <xdr:colOff>19050</xdr:colOff>
          <xdr:row>17</xdr:row>
          <xdr:rowOff>228600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9525</xdr:rowOff>
        </xdr:from>
        <xdr:to>
          <xdr:col>1</xdr:col>
          <xdr:colOff>19050</xdr:colOff>
          <xdr:row>18</xdr:row>
          <xdr:rowOff>228600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9525</xdr:rowOff>
        </xdr:from>
        <xdr:to>
          <xdr:col>1</xdr:col>
          <xdr:colOff>19050</xdr:colOff>
          <xdr:row>8</xdr:row>
          <xdr:rowOff>228600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9525</xdr:rowOff>
        </xdr:from>
        <xdr:to>
          <xdr:col>1</xdr:col>
          <xdr:colOff>19050</xdr:colOff>
          <xdr:row>9</xdr:row>
          <xdr:rowOff>228600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fitToPage="1"/>
  </sheetPr>
  <dimension ref="B2:J15"/>
  <sheetViews>
    <sheetView showGridLines="0" showRowColHeaders="0" tabSelected="1" workbookViewId="0">
      <selection activeCell="J17" sqref="J17"/>
    </sheetView>
  </sheetViews>
  <sheetFormatPr defaultColWidth="10.28515625" defaultRowHeight="14.25" x14ac:dyDescent="0.2"/>
  <cols>
    <col min="1" max="1" width="4.140625" style="1" customWidth="1"/>
    <col min="2" max="9" width="11.42578125" style="1" customWidth="1"/>
    <col min="10" max="10" width="45.7109375" style="1" customWidth="1"/>
    <col min="11" max="16384" width="10.28515625" style="1"/>
  </cols>
  <sheetData>
    <row r="2" spans="2:10" ht="15" thickBot="1" x14ac:dyDescent="0.25"/>
    <row r="3" spans="2:10" ht="15" customHeight="1" thickTop="1" x14ac:dyDescent="0.2">
      <c r="B3" s="223" t="str">
        <f>HLOOKUP(Language!$C$3,Language!$E$1:$Z564,32,FALSE)</f>
        <v xml:space="preserve">Our policy is one of continuous development. Accordingly the design of our products may change at any time. </v>
      </c>
      <c r="C3" s="224"/>
      <c r="D3" s="224"/>
      <c r="E3" s="224"/>
      <c r="F3" s="224"/>
      <c r="G3" s="224"/>
      <c r="H3" s="224"/>
      <c r="I3" s="224"/>
      <c r="J3" s="225"/>
    </row>
    <row r="4" spans="2:10" ht="14.25" customHeight="1" x14ac:dyDescent="0.2">
      <c r="B4" s="226" t="str">
        <f>HLOOKUP(Language!$C$3,Language!$E$1:$Z564,33,FALSE)</f>
        <v>Whilst every effort is made to produce up to date literature, this document should only be regarded as a guide and is intended for information purposes only.</v>
      </c>
      <c r="C4" s="227"/>
      <c r="D4" s="227"/>
      <c r="E4" s="227"/>
      <c r="F4" s="227"/>
      <c r="G4" s="227"/>
      <c r="H4" s="227"/>
      <c r="I4" s="227"/>
      <c r="J4" s="228"/>
    </row>
    <row r="5" spans="2:10" x14ac:dyDescent="0.2">
      <c r="B5" s="226"/>
      <c r="C5" s="227"/>
      <c r="D5" s="227"/>
      <c r="E5" s="227"/>
      <c r="F5" s="227"/>
      <c r="G5" s="227"/>
      <c r="H5" s="227"/>
      <c r="I5" s="227"/>
      <c r="J5" s="228"/>
    </row>
    <row r="6" spans="2:10" ht="14.25" customHeight="1" x14ac:dyDescent="0.2">
      <c r="B6" s="226" t="str">
        <f>HLOOKUP(Language!$C$3,Language!$E$1:$Z564,34,FALSE)</f>
        <v>Its contents do not constitute an offer for sale or advice on the application of any product referred to in it. We cannot be held responsible for any reliance on any decisions taken on its contents without specific advice.</v>
      </c>
      <c r="C6" s="227"/>
      <c r="D6" s="227"/>
      <c r="E6" s="227"/>
      <c r="F6" s="227"/>
      <c r="G6" s="227"/>
      <c r="H6" s="227"/>
      <c r="I6" s="227"/>
      <c r="J6" s="228"/>
    </row>
    <row r="7" spans="2:10" x14ac:dyDescent="0.2">
      <c r="B7" s="226"/>
      <c r="C7" s="227"/>
      <c r="D7" s="227"/>
      <c r="E7" s="227"/>
      <c r="F7" s="227"/>
      <c r="G7" s="227"/>
      <c r="H7" s="227"/>
      <c r="I7" s="227"/>
      <c r="J7" s="228"/>
    </row>
    <row r="8" spans="2:10" ht="3.75" customHeight="1" thickBot="1" x14ac:dyDescent="0.25">
      <c r="B8" s="229"/>
      <c r="C8" s="230"/>
      <c r="D8" s="230"/>
      <c r="E8" s="230"/>
      <c r="F8" s="230"/>
      <c r="G8" s="230"/>
      <c r="H8" s="230"/>
      <c r="I8" s="230"/>
      <c r="J8" s="231"/>
    </row>
    <row r="9" spans="2:10" ht="15" thickTop="1" x14ac:dyDescent="0.2"/>
    <row r="10" spans="2:10" ht="15" thickBot="1" x14ac:dyDescent="0.25"/>
    <row r="11" spans="2:10" ht="15.75" x14ac:dyDescent="0.2">
      <c r="B11" s="232" t="str">
        <f>HLOOKUP(Language!$C$3,Language!$E$1:$Z564,31,FALSE)</f>
        <v>Language Selection</v>
      </c>
      <c r="C11" s="233"/>
      <c r="D11" s="234"/>
    </row>
    <row r="12" spans="2:10" x14ac:dyDescent="0.2">
      <c r="B12" s="187"/>
      <c r="C12" s="188"/>
      <c r="D12" s="189"/>
    </row>
    <row r="13" spans="2:10" x14ac:dyDescent="0.2">
      <c r="B13" s="187"/>
      <c r="C13" s="188"/>
      <c r="D13" s="189"/>
    </row>
    <row r="14" spans="2:10" x14ac:dyDescent="0.2">
      <c r="B14" s="187"/>
      <c r="C14" s="188"/>
      <c r="D14" s="189"/>
    </row>
    <row r="15" spans="2:10" ht="15" thickBot="1" x14ac:dyDescent="0.25">
      <c r="B15" s="190"/>
      <c r="C15" s="191"/>
      <c r="D15" s="192"/>
    </row>
  </sheetData>
  <sheetProtection algorithmName="SHA-512" hashValue="68ui8BZNDSVnBqY0zJkUieXa3Mfzo+nK3upCjAHF5+maiF9CpSlg03MfPNbzAwHj2C/Jesse8RabEoxXm0ZdkQ==" saltValue="pU0VCciTly2e+l6RTlfR8w==" spinCount="100000" sheet="1" objects="1" scenarios="1"/>
  <mergeCells count="4">
    <mergeCell ref="B3:J3"/>
    <mergeCell ref="B4:J5"/>
    <mergeCell ref="B6:J8"/>
    <mergeCell ref="B11:D11"/>
  </mergeCells>
  <phoneticPr fontId="19" type="noConversion"/>
  <pageMargins left="0.75" right="0.75" top="1" bottom="1" header="0.5" footer="0.5"/>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List Box 1">
              <controlPr defaultSize="0" autoLine="0" autoPict="0">
                <anchor moveWithCells="1">
                  <from>
                    <xdr:col>1</xdr:col>
                    <xdr:colOff>0</xdr:colOff>
                    <xdr:row>11</xdr:row>
                    <xdr:rowOff>47625</xdr:rowOff>
                  </from>
                  <to>
                    <xdr:col>3</xdr:col>
                    <xdr:colOff>752475</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V39"/>
  <sheetViews>
    <sheetView showGridLines="0" showRowColHeaders="0" workbookViewId="0">
      <selection activeCell="E10" sqref="E10"/>
    </sheetView>
  </sheetViews>
  <sheetFormatPr defaultColWidth="8.140625" defaultRowHeight="12.75" x14ac:dyDescent="0.2"/>
  <cols>
    <col min="1" max="1" width="11" style="74" customWidth="1"/>
    <col min="2" max="2" width="19" style="74" customWidth="1"/>
    <col min="3" max="3" width="33.5703125" style="74" customWidth="1"/>
    <col min="4" max="4" width="12.7109375" style="98" customWidth="1"/>
    <col min="5" max="6" width="2.7109375" style="98" customWidth="1"/>
    <col min="7" max="7" width="6.7109375" style="98" customWidth="1"/>
    <col min="8" max="8" width="2.7109375" style="98" customWidth="1"/>
    <col min="9" max="9" width="4.7109375" style="98" customWidth="1"/>
    <col min="10" max="10" width="2.7109375" style="98" customWidth="1"/>
    <col min="11" max="255" width="9.140625" style="74" customWidth="1"/>
    <col min="256" max="16384" width="8.140625" style="74"/>
  </cols>
  <sheetData>
    <row r="1" spans="1:256" x14ac:dyDescent="0.2">
      <c r="A1" s="61" t="str">
        <f>HLOOKUP(Language!$C$3,Language!$E$1:$Z564,35,FALSE)</f>
        <v>Information required with Order</v>
      </c>
      <c r="B1" s="61"/>
      <c r="C1" s="61"/>
      <c r="D1" s="73"/>
      <c r="E1" s="73"/>
      <c r="F1" s="73"/>
      <c r="G1" s="73"/>
      <c r="H1" s="73"/>
      <c r="I1" s="73"/>
      <c r="J1" s="73"/>
    </row>
    <row r="2" spans="1:256" ht="13.5" thickBot="1" x14ac:dyDescent="0.25">
      <c r="A2" s="122"/>
      <c r="B2" s="61"/>
      <c r="C2" s="61"/>
      <c r="D2" s="73"/>
      <c r="E2" s="73"/>
      <c r="F2" s="73"/>
      <c r="G2" s="73"/>
      <c r="H2" s="73"/>
      <c r="I2" s="73"/>
      <c r="J2" s="73"/>
      <c r="K2" s="61"/>
      <c r="L2" s="61"/>
    </row>
    <row r="3" spans="1:256" ht="15" customHeight="1" x14ac:dyDescent="0.2">
      <c r="A3" s="123" t="str">
        <f>HLOOKUP(Language!$C$3,Language!$E$1:$Z564,36,FALSE)</f>
        <v>Variants</v>
      </c>
      <c r="B3" s="235" t="str">
        <f>HLOOKUP(Language!$C$3,Language!$E$1:$Z564,37,FALSE)</f>
        <v>Order Number</v>
      </c>
      <c r="C3" s="235"/>
      <c r="D3" s="235"/>
      <c r="E3" s="235"/>
      <c r="F3" s="235"/>
      <c r="G3" s="235"/>
      <c r="H3" s="235"/>
      <c r="I3" s="207"/>
      <c r="J3" s="207"/>
    </row>
    <row r="4" spans="1:256" x14ac:dyDescent="0.2">
      <c r="A4" s="124"/>
      <c r="B4" s="125"/>
      <c r="C4" s="126"/>
      <c r="D4" s="76" t="s">
        <v>21</v>
      </c>
      <c r="E4" s="77">
        <v>7</v>
      </c>
      <c r="F4" s="78">
        <v>8</v>
      </c>
      <c r="G4" s="76" t="s">
        <v>22</v>
      </c>
      <c r="H4" s="77">
        <v>12</v>
      </c>
      <c r="I4" s="127" t="s">
        <v>23</v>
      </c>
      <c r="J4" s="128">
        <v>15</v>
      </c>
    </row>
    <row r="5" spans="1:256" x14ac:dyDescent="0.2">
      <c r="A5" s="79" t="str">
        <f>'Date Drivers'!A3</f>
        <v>Model Type</v>
      </c>
      <c r="B5" s="61"/>
      <c r="C5" s="61"/>
      <c r="D5" s="80"/>
      <c r="E5" s="81"/>
      <c r="F5" s="82"/>
      <c r="G5" s="80"/>
      <c r="H5" s="83"/>
      <c r="I5" s="84"/>
      <c r="J5" s="129"/>
      <c r="K5" s="61"/>
      <c r="L5" s="61"/>
    </row>
    <row r="6" spans="1:256" x14ac:dyDescent="0.2">
      <c r="A6" s="85" t="str">
        <f>Database!A2</f>
        <v>RPV311 Multifunction Recorder</v>
      </c>
      <c r="B6" s="86"/>
      <c r="C6" s="86"/>
      <c r="D6" s="87" t="s">
        <v>24</v>
      </c>
      <c r="E6" s="81"/>
      <c r="F6" s="82"/>
      <c r="G6" s="80"/>
      <c r="H6" s="83"/>
      <c r="I6" s="84"/>
      <c r="J6" s="129"/>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c r="IV6" s="88"/>
    </row>
    <row r="7" spans="1:256" x14ac:dyDescent="0.2">
      <c r="A7" s="89"/>
      <c r="B7" s="90"/>
      <c r="C7" s="90"/>
      <c r="D7" s="91"/>
      <c r="E7" s="81"/>
      <c r="F7" s="82"/>
      <c r="G7" s="80"/>
      <c r="H7" s="83"/>
      <c r="I7" s="84"/>
      <c r="J7" s="129"/>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c r="IV7" s="88"/>
    </row>
    <row r="8" spans="1:256" x14ac:dyDescent="0.2">
      <c r="A8" s="79" t="str">
        <f>'Date Drivers'!A6</f>
        <v>Power Supply</v>
      </c>
      <c r="B8" s="86"/>
      <c r="C8" s="86"/>
      <c r="D8" s="92"/>
      <c r="E8" s="81"/>
      <c r="F8" s="82"/>
      <c r="G8" s="80"/>
      <c r="H8" s="83"/>
      <c r="I8" s="84"/>
      <c r="J8" s="129"/>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c r="IV8" s="88"/>
    </row>
    <row r="9" spans="1:256" x14ac:dyDescent="0.2">
      <c r="A9" s="220" t="str">
        <f>'Date Drivers'!I6</f>
        <v>24-48 Vdc (withdraw)</v>
      </c>
      <c r="B9" s="86"/>
      <c r="C9" s="86"/>
      <c r="D9" s="92"/>
      <c r="E9" s="222">
        <f>'Date Drivers'!I11</f>
        <v>1</v>
      </c>
      <c r="F9" s="82"/>
      <c r="G9" s="80"/>
      <c r="H9" s="83"/>
      <c r="I9" s="84"/>
      <c r="J9" s="129"/>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row>
    <row r="10" spans="1:256" x14ac:dyDescent="0.2">
      <c r="A10" s="85" t="str">
        <f>Database!C4</f>
        <v>100-250 Vdc / 110-240 Vac</v>
      </c>
      <c r="B10" s="86"/>
      <c r="C10" s="86"/>
      <c r="D10" s="92"/>
      <c r="E10" s="130">
        <f>Database!D4</f>
        <v>3</v>
      </c>
      <c r="F10" s="82"/>
      <c r="G10" s="80"/>
      <c r="H10" s="83"/>
      <c r="I10" s="84"/>
      <c r="J10" s="129"/>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row>
    <row r="11" spans="1:256" x14ac:dyDescent="0.2">
      <c r="A11" s="89"/>
      <c r="B11" s="90"/>
      <c r="C11" s="90"/>
      <c r="D11" s="91"/>
      <c r="E11" s="94"/>
      <c r="F11" s="82"/>
      <c r="G11" s="80"/>
      <c r="H11" s="83"/>
      <c r="I11" s="84"/>
      <c r="J11" s="129"/>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c r="IT11" s="88"/>
      <c r="IU11" s="88"/>
      <c r="IV11" s="88"/>
    </row>
    <row r="12" spans="1:256" x14ac:dyDescent="0.2">
      <c r="A12" s="96" t="str">
        <f>'Date Drivers'!A16</f>
        <v>Network Interface</v>
      </c>
      <c r="B12" s="86"/>
      <c r="C12" s="86"/>
      <c r="D12" s="92"/>
      <c r="E12" s="95"/>
      <c r="F12" s="82"/>
      <c r="G12" s="80"/>
      <c r="H12" s="83"/>
      <c r="I12" s="84"/>
      <c r="J12" s="129"/>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row>
    <row r="13" spans="1:256" x14ac:dyDescent="0.2">
      <c r="A13" s="85" t="str">
        <f>Database!C11</f>
        <v>Two RJ45 copper 100BASE-TX Ethernet interfaces</v>
      </c>
      <c r="B13" s="86"/>
      <c r="C13" s="86"/>
      <c r="D13" s="92"/>
      <c r="E13" s="95"/>
      <c r="F13" s="93" t="s">
        <v>26</v>
      </c>
      <c r="G13" s="80"/>
      <c r="H13" s="83"/>
      <c r="I13" s="84"/>
      <c r="J13" s="129"/>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row>
    <row r="14" spans="1:256" x14ac:dyDescent="0.2">
      <c r="A14" s="85" t="str">
        <f>Database!C12</f>
        <v>Two RJ45 copper or duplex ST-type connector 100BASE-X Ethernet interfaces</v>
      </c>
      <c r="B14" s="86"/>
      <c r="C14" s="86"/>
      <c r="D14" s="92"/>
      <c r="E14" s="95"/>
      <c r="F14" s="93" t="s">
        <v>28</v>
      </c>
      <c r="G14" s="80"/>
      <c r="H14" s="83"/>
      <c r="I14" s="84"/>
      <c r="J14" s="129"/>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row>
    <row r="15" spans="1:256" x14ac:dyDescent="0.2">
      <c r="A15" s="85"/>
      <c r="B15" s="90"/>
      <c r="C15" s="90"/>
      <c r="D15" s="91"/>
      <c r="E15" s="94"/>
      <c r="F15" s="94"/>
      <c r="G15" s="80"/>
      <c r="H15" s="83"/>
      <c r="I15" s="84"/>
      <c r="J15" s="129"/>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row>
    <row r="16" spans="1:256" x14ac:dyDescent="0.2">
      <c r="A16" s="97" t="str">
        <f>'Date Drivers'!A24</f>
        <v>Functions and Protocols</v>
      </c>
      <c r="B16" s="86"/>
      <c r="C16" s="86"/>
      <c r="D16" s="92"/>
      <c r="E16" s="95"/>
      <c r="F16" s="95"/>
      <c r="G16" s="80"/>
      <c r="H16" s="83"/>
      <c r="I16" s="84"/>
      <c r="J16" s="129"/>
      <c r="K16" s="88"/>
      <c r="L16" s="183"/>
      <c r="M16" s="181"/>
      <c r="N16" s="181"/>
      <c r="O16" s="181"/>
      <c r="P16" s="181"/>
      <c r="Q16" s="181"/>
      <c r="R16" s="181"/>
      <c r="S16" s="181"/>
      <c r="T16" s="181"/>
      <c r="U16" s="181"/>
      <c r="V16" s="181"/>
      <c r="W16" s="181"/>
      <c r="X16" s="181"/>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row>
    <row r="17" spans="1:256" x14ac:dyDescent="0.2">
      <c r="A17" s="85" t="str">
        <f>Database!C36</f>
        <v>Fault Recorder</v>
      </c>
      <c r="B17" s="86"/>
      <c r="C17" s="86"/>
      <c r="D17" s="92"/>
      <c r="E17" s="95"/>
      <c r="F17" s="95"/>
      <c r="G17" s="93" t="s">
        <v>31</v>
      </c>
      <c r="H17" s="83"/>
      <c r="I17" s="84"/>
      <c r="J17" s="129"/>
      <c r="K17" s="88"/>
      <c r="L17" s="184"/>
      <c r="M17" s="184"/>
      <c r="N17" s="184"/>
      <c r="O17" s="184"/>
      <c r="P17" s="184"/>
      <c r="Q17" s="184"/>
      <c r="R17" s="184"/>
      <c r="S17" s="184"/>
      <c r="T17" s="184"/>
      <c r="U17" s="184"/>
      <c r="V17" s="184"/>
      <c r="W17" s="184"/>
      <c r="X17" s="184"/>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row>
    <row r="18" spans="1:256" x14ac:dyDescent="0.2">
      <c r="A18" s="85" t="str">
        <f>Database!C37</f>
        <v>Sequence of Events Recorder</v>
      </c>
      <c r="B18" s="86"/>
      <c r="C18" s="86"/>
      <c r="D18" s="92"/>
      <c r="E18" s="95"/>
      <c r="F18" s="95"/>
      <c r="G18" s="93" t="s">
        <v>31</v>
      </c>
      <c r="H18" s="83"/>
      <c r="I18" s="84"/>
      <c r="J18" s="129"/>
      <c r="K18" s="88"/>
      <c r="L18" s="184"/>
      <c r="M18" s="181"/>
      <c r="N18" s="181"/>
      <c r="O18" s="185"/>
      <c r="P18" s="181"/>
      <c r="Q18" s="181"/>
      <c r="R18" s="181"/>
      <c r="S18" s="181"/>
      <c r="T18" s="185"/>
      <c r="U18" s="181"/>
      <c r="V18" s="181"/>
      <c r="W18" s="181"/>
      <c r="X18" s="181"/>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row>
    <row r="19" spans="1:256" x14ac:dyDescent="0.2">
      <c r="A19" s="85" t="str">
        <f>Database!C38</f>
        <v>Disturbance Recorder</v>
      </c>
      <c r="B19" s="86"/>
      <c r="C19" s="86"/>
      <c r="D19" s="92"/>
      <c r="E19" s="95"/>
      <c r="F19" s="95"/>
      <c r="G19" s="93" t="s">
        <v>31</v>
      </c>
      <c r="H19" s="83"/>
      <c r="I19" s="84"/>
      <c r="J19" s="129"/>
      <c r="K19" s="88"/>
      <c r="L19" s="184"/>
      <c r="M19" s="181"/>
      <c r="N19" s="181"/>
      <c r="O19" s="185"/>
      <c r="P19" s="181"/>
      <c r="Q19" s="181"/>
      <c r="R19" s="181"/>
      <c r="S19" s="181"/>
      <c r="T19" s="185"/>
      <c r="U19" s="181"/>
      <c r="V19" s="181"/>
      <c r="W19" s="181"/>
      <c r="X19" s="181"/>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x14ac:dyDescent="0.2">
      <c r="A20" s="85" t="str">
        <f>Database!C39</f>
        <v>Continuous Fault and Disturbance Recorder</v>
      </c>
      <c r="B20" s="86"/>
      <c r="C20" s="86"/>
      <c r="D20" s="92"/>
      <c r="E20" s="95"/>
      <c r="F20" s="95"/>
      <c r="G20" s="93" t="s">
        <v>31</v>
      </c>
      <c r="H20" s="83"/>
      <c r="I20" s="84"/>
      <c r="J20" s="129"/>
      <c r="K20" s="88"/>
      <c r="L20" s="184"/>
      <c r="M20" s="181"/>
      <c r="N20" s="181"/>
      <c r="O20" s="185"/>
      <c r="P20" s="181"/>
      <c r="Q20" s="181"/>
      <c r="R20" s="181"/>
      <c r="S20" s="181"/>
      <c r="T20" s="185"/>
      <c r="U20" s="181"/>
      <c r="V20" s="181"/>
      <c r="W20" s="181"/>
      <c r="X20" s="181"/>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x14ac:dyDescent="0.2">
      <c r="A21" s="85" t="str">
        <f>Database!C27</f>
        <v>Phasor Measurement Unit (PMU)</v>
      </c>
      <c r="B21" s="86"/>
      <c r="C21" s="86"/>
      <c r="D21" s="92"/>
      <c r="E21" s="95"/>
      <c r="F21" s="95"/>
      <c r="G21" s="93" t="s">
        <v>31</v>
      </c>
      <c r="H21" s="83"/>
      <c r="I21" s="84"/>
      <c r="J21" s="129"/>
      <c r="K21" s="88"/>
      <c r="L21" s="184"/>
      <c r="M21" s="181"/>
      <c r="N21" s="181"/>
      <c r="O21" s="185"/>
      <c r="P21" s="181"/>
      <c r="Q21" s="181"/>
      <c r="R21" s="181"/>
      <c r="S21" s="181"/>
      <c r="T21" s="185"/>
      <c r="U21" s="181"/>
      <c r="V21" s="181"/>
      <c r="W21" s="181"/>
      <c r="X21" s="181"/>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256" x14ac:dyDescent="0.2">
      <c r="A22" s="85" t="str">
        <f>Database!C28</f>
        <v>GOOSE Message Subscription</v>
      </c>
      <c r="B22" s="86"/>
      <c r="C22" s="86"/>
      <c r="D22" s="92"/>
      <c r="E22" s="95"/>
      <c r="F22" s="95"/>
      <c r="G22" s="93" t="s">
        <v>31</v>
      </c>
      <c r="H22" s="83"/>
      <c r="I22" s="84"/>
      <c r="J22" s="129"/>
      <c r="K22" s="88"/>
      <c r="L22" s="181"/>
      <c r="M22" s="181"/>
      <c r="N22" s="181"/>
      <c r="O22" s="185"/>
      <c r="P22" s="181"/>
      <c r="Q22" s="181"/>
      <c r="R22" s="181"/>
      <c r="S22" s="181"/>
      <c r="T22" s="185"/>
      <c r="U22" s="181"/>
      <c r="V22" s="181"/>
      <c r="W22" s="181"/>
      <c r="X22" s="181"/>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row>
    <row r="23" spans="1:256" x14ac:dyDescent="0.2">
      <c r="A23" s="85" t="str">
        <f>Database!C29</f>
        <v>MODBUS/DNP3.0 Interface</v>
      </c>
      <c r="B23" s="86"/>
      <c r="C23" s="86"/>
      <c r="D23" s="92"/>
      <c r="E23" s="95"/>
      <c r="F23" s="95"/>
      <c r="G23" s="93" t="s">
        <v>31</v>
      </c>
      <c r="H23" s="83"/>
      <c r="I23" s="84"/>
      <c r="J23" s="129"/>
      <c r="K23" s="88"/>
      <c r="L23" s="181"/>
      <c r="M23" s="181"/>
      <c r="N23" s="181"/>
      <c r="O23" s="185"/>
      <c r="P23" s="181"/>
      <c r="Q23" s="181"/>
      <c r="R23" s="181"/>
      <c r="S23" s="181"/>
      <c r="T23" s="185"/>
      <c r="U23" s="181"/>
      <c r="V23" s="181"/>
      <c r="W23" s="181"/>
      <c r="X23" s="181"/>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row>
    <row r="24" spans="1:256" x14ac:dyDescent="0.2">
      <c r="A24" s="85" t="str">
        <f>Database!C30</f>
        <v>Power Quality</v>
      </c>
      <c r="B24" s="86"/>
      <c r="C24" s="86"/>
      <c r="D24" s="92"/>
      <c r="E24" s="95"/>
      <c r="F24" s="95"/>
      <c r="G24" s="93" t="s">
        <v>31</v>
      </c>
      <c r="H24" s="83"/>
      <c r="I24" s="84"/>
      <c r="J24" s="129"/>
      <c r="K24" s="88"/>
      <c r="L24" s="181"/>
      <c r="M24" s="181"/>
      <c r="N24" s="181"/>
      <c r="O24" s="185"/>
      <c r="P24" s="181"/>
      <c r="Q24" s="181"/>
      <c r="R24" s="181"/>
      <c r="S24" s="181"/>
      <c r="T24" s="185"/>
      <c r="U24" s="181"/>
      <c r="V24" s="181"/>
      <c r="W24" s="181"/>
      <c r="X24" s="181"/>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row>
    <row r="25" spans="1:256" x14ac:dyDescent="0.2">
      <c r="A25" s="85" t="str">
        <f>Database!C18</f>
        <v>IEC 61850-9-2LE Inputs</v>
      </c>
      <c r="B25" s="86"/>
      <c r="C25" s="86"/>
      <c r="D25" s="92"/>
      <c r="E25" s="95"/>
      <c r="F25" s="95"/>
      <c r="G25" s="93" t="s">
        <v>31</v>
      </c>
      <c r="H25" s="83"/>
      <c r="I25" s="84"/>
      <c r="J25" s="129"/>
      <c r="K25" s="88"/>
      <c r="L25" s="181"/>
      <c r="M25" s="181"/>
      <c r="N25" s="181"/>
      <c r="O25" s="185"/>
      <c r="P25" s="181"/>
      <c r="Q25" s="181"/>
      <c r="R25" s="181"/>
      <c r="S25" s="181"/>
      <c r="T25" s="185"/>
      <c r="U25" s="181"/>
      <c r="V25" s="181"/>
      <c r="W25" s="181"/>
      <c r="X25" s="181"/>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row>
    <row r="26" spans="1:256" x14ac:dyDescent="0.2">
      <c r="A26" s="85" t="str">
        <f>Database!C19</f>
        <v>Travelling Wave Fault Location</v>
      </c>
      <c r="B26" s="86"/>
      <c r="C26" s="86"/>
      <c r="D26" s="92"/>
      <c r="E26" s="95"/>
      <c r="F26" s="95"/>
      <c r="G26" s="93" t="s">
        <v>31</v>
      </c>
      <c r="H26" s="83"/>
      <c r="I26" s="84"/>
      <c r="J26" s="129"/>
      <c r="K26" s="88"/>
      <c r="L26" s="181"/>
      <c r="M26" s="181"/>
      <c r="N26" s="181"/>
      <c r="O26" s="185"/>
      <c r="P26" s="181"/>
      <c r="Q26" s="181"/>
      <c r="R26" s="181"/>
      <c r="S26" s="181"/>
      <c r="T26" s="185"/>
      <c r="U26" s="181"/>
      <c r="V26" s="181"/>
      <c r="W26" s="181"/>
      <c r="X26" s="181"/>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row>
    <row r="27" spans="1:256" x14ac:dyDescent="0.2">
      <c r="A27" s="85" t="str">
        <f>Database!C20</f>
        <v>Waveform Measurement Unit (WMU)</v>
      </c>
      <c r="B27" s="86"/>
      <c r="C27" s="86"/>
      <c r="D27" s="92"/>
      <c r="E27" s="95"/>
      <c r="F27" s="95"/>
      <c r="G27" s="93" t="s">
        <v>31</v>
      </c>
      <c r="H27" s="83"/>
      <c r="I27" s="84"/>
      <c r="J27" s="129"/>
      <c r="K27" s="88"/>
      <c r="L27" s="181"/>
      <c r="M27" s="181"/>
      <c r="N27" s="181"/>
      <c r="O27" s="185"/>
      <c r="P27" s="181"/>
      <c r="Q27" s="181"/>
      <c r="R27" s="181"/>
      <c r="S27" s="181"/>
      <c r="T27" s="185"/>
      <c r="U27" s="181"/>
      <c r="V27" s="181"/>
      <c r="W27" s="181"/>
      <c r="X27" s="181"/>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row>
    <row r="28" spans="1:256" x14ac:dyDescent="0.2">
      <c r="A28" s="89"/>
      <c r="B28" s="90"/>
      <c r="C28" s="90"/>
      <c r="D28" s="91"/>
      <c r="E28" s="94"/>
      <c r="F28" s="94"/>
      <c r="G28" s="94"/>
      <c r="H28" s="83"/>
      <c r="I28" s="84"/>
      <c r="J28" s="129"/>
      <c r="K28" s="88"/>
      <c r="L28" s="181"/>
      <c r="M28" s="182"/>
      <c r="N28" s="182"/>
      <c r="O28" s="185"/>
      <c r="P28" s="182"/>
      <c r="Q28" s="182"/>
      <c r="R28" s="182"/>
      <c r="S28" s="182"/>
      <c r="T28" s="185"/>
      <c r="U28" s="182"/>
      <c r="V28" s="182"/>
      <c r="W28" s="182"/>
      <c r="X28" s="182"/>
      <c r="Y28" s="131"/>
      <c r="Z28" s="131"/>
      <c r="AA28" s="131"/>
      <c r="AB28" s="131"/>
      <c r="AC28" s="131"/>
      <c r="AD28" s="131"/>
      <c r="AE28" s="131"/>
      <c r="AF28" s="131"/>
      <c r="AG28" s="131"/>
      <c r="AH28" s="131"/>
      <c r="AI28" s="131"/>
      <c r="AJ28" s="131"/>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row>
    <row r="29" spans="1:256" x14ac:dyDescent="0.2">
      <c r="A29" s="79" t="str">
        <f>'Date Drivers'!A50</f>
        <v>Customization / Regionalisation</v>
      </c>
      <c r="B29" s="75"/>
      <c r="C29" s="86"/>
      <c r="D29" s="92"/>
      <c r="E29" s="95"/>
      <c r="F29" s="95"/>
      <c r="G29" s="95"/>
      <c r="H29" s="83"/>
      <c r="I29" s="84"/>
      <c r="J29" s="129"/>
      <c r="K29" s="88"/>
      <c r="L29" s="181"/>
      <c r="M29" s="181"/>
      <c r="N29" s="181"/>
      <c r="O29" s="185"/>
      <c r="P29" s="181"/>
      <c r="Q29" s="181"/>
      <c r="R29" s="181"/>
      <c r="S29" s="181"/>
      <c r="T29" s="185"/>
      <c r="U29" s="181"/>
      <c r="V29" s="181"/>
      <c r="W29" s="181"/>
      <c r="X29" s="181"/>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row>
    <row r="30" spans="1:256" x14ac:dyDescent="0.2">
      <c r="A30" s="85" t="str">
        <f>Database!C46</f>
        <v>GE branding</v>
      </c>
      <c r="B30" s="86"/>
      <c r="C30" s="86"/>
      <c r="D30" s="92"/>
      <c r="E30" s="95"/>
      <c r="F30" s="95"/>
      <c r="G30" s="95"/>
      <c r="H30" s="93" t="str">
        <f>Database!D46</f>
        <v>C</v>
      </c>
      <c r="I30" s="84"/>
      <c r="J30" s="129"/>
      <c r="K30" s="88"/>
      <c r="L30" s="181"/>
      <c r="M30" s="181"/>
      <c r="N30" s="181"/>
      <c r="O30" s="185"/>
      <c r="P30" s="181"/>
      <c r="Q30" s="181"/>
      <c r="R30" s="181"/>
      <c r="S30" s="181"/>
      <c r="T30" s="185"/>
      <c r="U30" s="181"/>
      <c r="V30" s="181"/>
      <c r="W30" s="181"/>
      <c r="X30" s="181"/>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row>
    <row r="31" spans="1:256" x14ac:dyDescent="0.2">
      <c r="A31" s="89"/>
      <c r="B31" s="86"/>
      <c r="C31" s="90"/>
      <c r="D31" s="91"/>
      <c r="E31" s="94"/>
      <c r="F31" s="94"/>
      <c r="G31" s="94"/>
      <c r="H31" s="94"/>
      <c r="I31" s="84"/>
      <c r="J31" s="129"/>
      <c r="K31" s="88"/>
      <c r="L31" s="181"/>
      <c r="M31" s="181"/>
      <c r="N31" s="181"/>
      <c r="O31" s="185"/>
      <c r="P31" s="181"/>
      <c r="Q31" s="181"/>
      <c r="R31" s="181"/>
      <c r="S31" s="181"/>
      <c r="T31" s="185"/>
      <c r="U31" s="181"/>
      <c r="V31" s="181"/>
      <c r="W31" s="181"/>
      <c r="X31" s="181"/>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row>
    <row r="32" spans="1:256" x14ac:dyDescent="0.2">
      <c r="A32" s="79" t="str">
        <f>'Date Drivers'!A61</f>
        <v>Firmware Version</v>
      </c>
      <c r="B32" s="75"/>
      <c r="C32" s="86"/>
      <c r="D32" s="92"/>
      <c r="E32" s="95"/>
      <c r="F32" s="95"/>
      <c r="G32" s="95"/>
      <c r="H32" s="95"/>
      <c r="I32" s="84"/>
      <c r="J32" s="129"/>
      <c r="K32" s="88"/>
      <c r="L32" s="181"/>
      <c r="M32" s="181"/>
      <c r="N32" s="181"/>
      <c r="O32" s="185"/>
      <c r="P32" s="181"/>
      <c r="Q32" s="181"/>
      <c r="R32" s="181"/>
      <c r="S32" s="181"/>
      <c r="T32" s="185"/>
      <c r="U32" s="181"/>
      <c r="V32" s="181"/>
      <c r="W32" s="181"/>
      <c r="X32" s="181"/>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row>
    <row r="33" spans="1:256" x14ac:dyDescent="0.2">
      <c r="A33" s="85" t="str">
        <f>Database!C54</f>
        <v>Firmware 14</v>
      </c>
      <c r="B33" s="86"/>
      <c r="C33" s="86"/>
      <c r="D33" s="92"/>
      <c r="E33" s="95"/>
      <c r="F33" s="95"/>
      <c r="G33" s="95"/>
      <c r="H33" s="95"/>
      <c r="I33" s="93">
        <f>Database!D54</f>
        <v>14</v>
      </c>
      <c r="J33" s="129"/>
      <c r="K33" s="88"/>
      <c r="L33" s="181"/>
      <c r="M33" s="181"/>
      <c r="N33" s="181"/>
      <c r="O33" s="185"/>
      <c r="P33" s="181"/>
      <c r="Q33" s="181"/>
      <c r="R33" s="181"/>
      <c r="S33" s="181"/>
      <c r="T33" s="185"/>
      <c r="U33" s="181"/>
      <c r="V33" s="181"/>
      <c r="W33" s="181"/>
      <c r="X33" s="181"/>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row>
    <row r="34" spans="1:256" x14ac:dyDescent="0.2">
      <c r="A34" s="220" t="str">
        <f>'Date Drivers'!H62</f>
        <v>Firmware 13 (withdraw)</v>
      </c>
      <c r="B34" s="86"/>
      <c r="C34" s="86"/>
      <c r="D34" s="92"/>
      <c r="E34" s="95"/>
      <c r="F34" s="95"/>
      <c r="G34" s="95"/>
      <c r="H34" s="95"/>
      <c r="I34" s="222">
        <f>'Date Drivers'!H69</f>
        <v>13</v>
      </c>
      <c r="J34" s="129"/>
      <c r="K34" s="88"/>
      <c r="L34" s="186"/>
      <c r="M34" s="186"/>
      <c r="N34" s="186"/>
      <c r="O34" s="186"/>
      <c r="P34" s="186"/>
      <c r="Q34" s="186"/>
      <c r="R34" s="186"/>
      <c r="S34" s="186"/>
      <c r="T34" s="186"/>
      <c r="U34" s="186"/>
      <c r="V34" s="186"/>
      <c r="W34" s="186"/>
      <c r="X34" s="186"/>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row>
    <row r="35" spans="1:256" x14ac:dyDescent="0.2">
      <c r="A35" s="89"/>
      <c r="B35" s="86"/>
      <c r="C35" s="90"/>
      <c r="D35" s="91"/>
      <c r="E35" s="94"/>
      <c r="F35" s="94"/>
      <c r="G35" s="94"/>
      <c r="H35" s="94"/>
      <c r="I35" s="94"/>
      <c r="J35" s="129"/>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row>
    <row r="36" spans="1:256" x14ac:dyDescent="0.2">
      <c r="A36" s="79" t="str">
        <f>'Date Drivers'!A75</f>
        <v>Hardware Design Suffix</v>
      </c>
      <c r="B36" s="75"/>
      <c r="C36" s="86"/>
      <c r="D36" s="92"/>
      <c r="E36" s="95"/>
      <c r="F36" s="95"/>
      <c r="G36" s="95"/>
      <c r="H36" s="95"/>
      <c r="I36" s="95"/>
      <c r="J36" s="129"/>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row>
    <row r="37" spans="1:256" x14ac:dyDescent="0.2">
      <c r="A37" s="220" t="str">
        <f>'Date Drivers'!G75</f>
        <v>Third version (withdraw)</v>
      </c>
      <c r="B37" s="86"/>
      <c r="C37" s="86"/>
      <c r="D37" s="92"/>
      <c r="E37" s="95"/>
      <c r="F37" s="95"/>
      <c r="G37" s="95"/>
      <c r="H37" s="95"/>
      <c r="I37" s="95"/>
      <c r="J37" s="221" t="str">
        <f>'Date Drivers'!G81</f>
        <v>C</v>
      </c>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row>
    <row r="38" spans="1:256" x14ac:dyDescent="0.2">
      <c r="A38" s="85" t="str">
        <f>Database!C61</f>
        <v>Fourth version</v>
      </c>
      <c r="B38" s="86"/>
      <c r="C38" s="86"/>
      <c r="D38" s="92"/>
      <c r="E38" s="95"/>
      <c r="F38" s="95"/>
      <c r="G38" s="95"/>
      <c r="H38" s="95"/>
      <c r="I38" s="95"/>
      <c r="J38" s="219" t="str">
        <f>Database!D61</f>
        <v>D</v>
      </c>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row>
    <row r="39" spans="1:256" x14ac:dyDescent="0.2">
      <c r="A39" s="89"/>
      <c r="B39" s="90"/>
      <c r="C39" s="90"/>
      <c r="D39" s="91"/>
      <c r="E39" s="94"/>
      <c r="F39" s="94"/>
      <c r="G39" s="94"/>
      <c r="H39" s="94"/>
      <c r="I39" s="94"/>
      <c r="J39" s="21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88"/>
      <c r="IT39" s="88"/>
      <c r="IU39" s="88"/>
      <c r="IV39" s="88"/>
    </row>
  </sheetData>
  <sheetProtection algorithmName="SHA-512" hashValue="smB5Guh4XpyMjH1SZwvZGhQtz0J9QHfc8mMqPWM6OYySOFX3LoJQs6de1JzYsF93YZ9R/I/S09HdGNAm0Es9Dg==" saltValue="IXKZr7YGf8HrO+M31ZEG7Q==" spinCount="100000" sheet="1" objects="1" scenarios="1"/>
  <mergeCells count="1">
    <mergeCell ref="B3:H3"/>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P26"/>
  <sheetViews>
    <sheetView showGridLines="0" showRowColHeaders="0" workbookViewId="0">
      <pane ySplit="3" topLeftCell="A4" activePane="bottomLeft" state="frozen"/>
      <selection pane="bottomLeft" activeCell="D9" sqref="D9"/>
    </sheetView>
  </sheetViews>
  <sheetFormatPr defaultRowHeight="14.25" x14ac:dyDescent="0.2"/>
  <cols>
    <col min="1" max="1" width="4.5703125" style="2" customWidth="1"/>
    <col min="2" max="4" width="9.140625" style="2"/>
    <col min="5" max="5" width="16" style="2" customWidth="1"/>
    <col min="6" max="6" width="11.5703125" style="2" bestFit="1" customWidth="1"/>
    <col min="7" max="7" width="4.42578125" style="38" bestFit="1" customWidth="1"/>
    <col min="8" max="12" width="3.28515625" style="38" customWidth="1"/>
    <col min="13" max="13" width="5.5703125" style="38" bestFit="1" customWidth="1"/>
    <col min="14" max="14" width="3.28515625" style="38" customWidth="1"/>
    <col min="15" max="15" width="4" style="2" customWidth="1"/>
    <col min="16" max="16" width="11.140625" style="2" bestFit="1" customWidth="1"/>
    <col min="17" max="16384" width="9.140625" style="2"/>
  </cols>
  <sheetData>
    <row r="1" spans="1:16" ht="18" x14ac:dyDescent="0.25">
      <c r="A1" s="105" t="str">
        <f>Database!A2</f>
        <v>RPV311 Multifunction Recorder</v>
      </c>
      <c r="B1" s="106"/>
      <c r="C1" s="106"/>
      <c r="D1" s="106"/>
      <c r="E1" s="106"/>
      <c r="F1" s="106"/>
      <c r="G1" s="107"/>
      <c r="H1" s="107"/>
      <c r="I1" s="107"/>
      <c r="J1" s="107"/>
      <c r="K1" s="107"/>
      <c r="L1" s="107"/>
      <c r="M1" s="107"/>
      <c r="N1" s="107"/>
      <c r="O1" s="108"/>
    </row>
    <row r="2" spans="1:16" x14ac:dyDescent="0.2">
      <c r="A2" s="109"/>
      <c r="B2" s="51"/>
      <c r="C2" s="51"/>
      <c r="D2" s="51"/>
      <c r="E2" s="51"/>
      <c r="F2" s="71" t="s">
        <v>21</v>
      </c>
      <c r="G2" s="72">
        <v>7</v>
      </c>
      <c r="H2" s="72">
        <v>8</v>
      </c>
      <c r="I2" s="72">
        <v>9</v>
      </c>
      <c r="J2" s="72">
        <v>10</v>
      </c>
      <c r="K2" s="72">
        <v>11</v>
      </c>
      <c r="L2" s="72">
        <v>12</v>
      </c>
      <c r="M2" s="138" t="s">
        <v>23</v>
      </c>
      <c r="N2" s="72">
        <v>15</v>
      </c>
      <c r="O2" s="65"/>
    </row>
    <row r="3" spans="1:16" s="49" customFormat="1" ht="18" x14ac:dyDescent="0.25">
      <c r="A3" s="110"/>
      <c r="B3" s="52"/>
      <c r="C3" s="52"/>
      <c r="D3" s="52"/>
      <c r="E3" s="53"/>
      <c r="F3" s="50" t="str">
        <f>'Date Drivers'!$B$4</f>
        <v>RPV311</v>
      </c>
      <c r="G3" s="39">
        <f>$G$5</f>
        <v>3</v>
      </c>
      <c r="H3" s="39" t="str">
        <f>$G$7</f>
        <v>E</v>
      </c>
      <c r="I3" s="39" t="str">
        <f>$G$9</f>
        <v>0</v>
      </c>
      <c r="J3" s="39" t="str">
        <f>$G$12</f>
        <v>0</v>
      </c>
      <c r="K3" s="39" t="str">
        <f>$G$16</f>
        <v>0</v>
      </c>
      <c r="L3" s="39" t="str">
        <f>$G$21</f>
        <v>C</v>
      </c>
      <c r="M3" s="39">
        <f>$G$23</f>
        <v>14</v>
      </c>
      <c r="N3" s="39" t="str">
        <f>$G$25</f>
        <v>D</v>
      </c>
      <c r="O3" s="111"/>
    </row>
    <row r="4" spans="1:16" ht="18" customHeight="1" x14ac:dyDescent="0.25">
      <c r="A4" s="118" t="str">
        <f>Database!$A$3</f>
        <v>Power Supply</v>
      </c>
      <c r="B4" s="69"/>
      <c r="C4" s="56"/>
      <c r="D4" s="56"/>
      <c r="E4" s="56"/>
      <c r="F4" s="56"/>
      <c r="G4" s="168"/>
      <c r="H4" s="166"/>
      <c r="I4" s="40"/>
      <c r="J4" s="41"/>
      <c r="K4" s="42"/>
      <c r="L4" s="40"/>
      <c r="M4" s="41"/>
      <c r="N4" s="153"/>
      <c r="O4" s="65"/>
    </row>
    <row r="5" spans="1:16" ht="26.25" customHeight="1" x14ac:dyDescent="0.2">
      <c r="A5" s="112"/>
      <c r="B5" s="56"/>
      <c r="C5" s="56"/>
      <c r="D5" s="113"/>
      <c r="E5" s="56"/>
      <c r="F5" s="56"/>
      <c r="G5" s="39">
        <f>Database!$D$3</f>
        <v>3</v>
      </c>
      <c r="H5" s="166"/>
      <c r="I5" s="40"/>
      <c r="J5" s="41"/>
      <c r="K5" s="42"/>
      <c r="L5" s="40"/>
      <c r="M5" s="41"/>
      <c r="N5" s="42"/>
      <c r="O5" s="65"/>
    </row>
    <row r="6" spans="1:16" ht="18" customHeight="1" x14ac:dyDescent="0.2">
      <c r="A6" s="118" t="str">
        <f>Database!A10</f>
        <v>Network Interface</v>
      </c>
      <c r="B6" s="56"/>
      <c r="C6" s="56"/>
      <c r="D6" s="56"/>
      <c r="E6" s="56"/>
      <c r="F6" s="56"/>
      <c r="G6" s="167"/>
      <c r="H6" s="166"/>
      <c r="I6" s="40"/>
      <c r="J6" s="41"/>
      <c r="K6" s="42"/>
      <c r="L6" s="40"/>
      <c r="M6" s="41"/>
      <c r="N6" s="42"/>
      <c r="O6" s="65"/>
    </row>
    <row r="7" spans="1:16" ht="26.25" customHeight="1" x14ac:dyDescent="0.2">
      <c r="A7" s="112"/>
      <c r="B7" s="56"/>
      <c r="C7" s="56"/>
      <c r="D7" s="56"/>
      <c r="E7" s="56"/>
      <c r="F7" s="56"/>
      <c r="G7" s="44" t="str">
        <f>Database!$D$10</f>
        <v>E</v>
      </c>
      <c r="H7" s="166"/>
      <c r="I7" s="40"/>
      <c r="J7" s="41"/>
      <c r="K7" s="42"/>
      <c r="L7" s="40"/>
      <c r="M7" s="41"/>
      <c r="N7" s="42"/>
      <c r="O7" s="65"/>
    </row>
    <row r="8" spans="1:16" ht="18" customHeight="1" x14ac:dyDescent="0.2">
      <c r="A8" s="162" t="str">
        <f>Database!A17</f>
        <v>Functions and Protocols</v>
      </c>
      <c r="B8" s="119"/>
      <c r="C8" s="56"/>
      <c r="D8" s="56"/>
      <c r="E8" s="56"/>
      <c r="F8" s="56"/>
      <c r="G8" s="48"/>
      <c r="H8" s="45"/>
      <c r="I8" s="40"/>
      <c r="J8" s="41"/>
      <c r="K8" s="42"/>
      <c r="L8" s="40"/>
      <c r="M8" s="41"/>
      <c r="N8" s="42"/>
      <c r="O8" s="65"/>
    </row>
    <row r="9" spans="1:16" s="210" customFormat="1" ht="19.5" customHeight="1" x14ac:dyDescent="0.2">
      <c r="B9" s="161" t="str">
        <f>Database!$C$18</f>
        <v>IEC 61850-9-2LE Inputs</v>
      </c>
      <c r="C9" s="139"/>
      <c r="D9" s="139"/>
      <c r="E9" s="139"/>
      <c r="F9" s="140"/>
      <c r="G9" s="236" t="str">
        <f>Database!$D$17</f>
        <v>0</v>
      </c>
      <c r="H9" s="114"/>
      <c r="I9" s="40"/>
      <c r="J9" s="41"/>
      <c r="K9" s="42"/>
      <c r="L9" s="40"/>
      <c r="M9" s="41"/>
      <c r="N9" s="42"/>
      <c r="O9" s="65"/>
    </row>
    <row r="10" spans="1:16" s="210" customFormat="1" ht="19.5" customHeight="1" x14ac:dyDescent="0.2">
      <c r="A10" s="56"/>
      <c r="B10" s="164" t="str">
        <f>Database!$C$19</f>
        <v>Travelling Wave Fault Location</v>
      </c>
      <c r="C10" s="149"/>
      <c r="D10" s="144"/>
      <c r="E10" s="144"/>
      <c r="F10" s="145"/>
      <c r="G10" s="237"/>
      <c r="H10" s="114"/>
      <c r="I10" s="40"/>
      <c r="J10" s="41"/>
      <c r="K10" s="42"/>
      <c r="L10" s="40"/>
      <c r="M10" s="41"/>
      <c r="N10" s="42"/>
      <c r="O10" s="65"/>
    </row>
    <row r="11" spans="1:16" ht="19.5" customHeight="1" x14ac:dyDescent="0.2">
      <c r="A11" s="141"/>
      <c r="B11" s="165" t="str">
        <f>Database!$C$20</f>
        <v>Waveform Measurement Unit (WMU)</v>
      </c>
      <c r="C11" s="146"/>
      <c r="D11" s="147"/>
      <c r="E11" s="147"/>
      <c r="F11" s="148"/>
      <c r="G11" s="238"/>
      <c r="H11" s="114"/>
      <c r="I11" s="40"/>
      <c r="J11" s="41"/>
      <c r="K11" s="42"/>
      <c r="L11" s="40"/>
      <c r="M11" s="41"/>
      <c r="N11" s="42"/>
      <c r="O11" s="65"/>
      <c r="P11" s="214" t="str">
        <f>IF(Database!E27*Configurator!G23&gt;=13,"",HLOOKUP(Language!$C$3,Language!$E$1:$Z502,48,FALSE))</f>
        <v>Only supported with PMU function</v>
      </c>
    </row>
    <row r="12" spans="1:16" ht="19.5" customHeight="1" x14ac:dyDescent="0.2">
      <c r="A12" s="139"/>
      <c r="B12" s="161" t="str">
        <f>Database!C27</f>
        <v>Phasor Measurement Unit (PMU)</v>
      </c>
      <c r="C12" s="142"/>
      <c r="D12" s="142"/>
      <c r="E12" s="142"/>
      <c r="F12" s="143"/>
      <c r="G12" s="236" t="str">
        <f>Database!$D$26</f>
        <v>0</v>
      </c>
      <c r="H12" s="46"/>
      <c r="I12" s="46"/>
      <c r="J12" s="41"/>
      <c r="K12" s="42"/>
      <c r="L12" s="40"/>
      <c r="M12" s="41"/>
      <c r="N12" s="42"/>
      <c r="O12" s="65"/>
    </row>
    <row r="13" spans="1:16" ht="19.5" customHeight="1" x14ac:dyDescent="0.2">
      <c r="A13" s="56"/>
      <c r="B13" s="164" t="str">
        <f>Database!C28</f>
        <v>GOOSE Message Subscription</v>
      </c>
      <c r="C13" s="144"/>
      <c r="D13" s="144"/>
      <c r="E13" s="144"/>
      <c r="F13" s="145"/>
      <c r="G13" s="237"/>
      <c r="H13" s="43"/>
      <c r="I13" s="43"/>
      <c r="J13" s="41"/>
      <c r="K13" s="42"/>
      <c r="L13" s="40"/>
      <c r="M13" s="41"/>
      <c r="N13" s="42"/>
      <c r="O13" s="65"/>
    </row>
    <row r="14" spans="1:16" ht="19.5" customHeight="1" x14ac:dyDescent="0.2">
      <c r="A14" s="56"/>
      <c r="B14" s="164" t="str">
        <f>Database!C29</f>
        <v>MODBUS/DNP3.0 Interface</v>
      </c>
      <c r="C14" s="144"/>
      <c r="D14" s="144"/>
      <c r="E14" s="144"/>
      <c r="F14" s="145"/>
      <c r="G14" s="237"/>
      <c r="H14" s="43"/>
      <c r="I14" s="43"/>
      <c r="J14" s="41"/>
      <c r="K14" s="42"/>
      <c r="L14" s="40"/>
      <c r="M14" s="41"/>
      <c r="N14" s="42"/>
      <c r="O14" s="65"/>
    </row>
    <row r="15" spans="1:16" ht="19.5" customHeight="1" x14ac:dyDescent="0.2">
      <c r="A15" s="141"/>
      <c r="B15" s="165" t="str">
        <f>Database!C30</f>
        <v>Power Quality</v>
      </c>
      <c r="C15" s="146"/>
      <c r="D15" s="147"/>
      <c r="E15" s="147"/>
      <c r="F15" s="148"/>
      <c r="G15" s="238"/>
      <c r="H15" s="151"/>
      <c r="I15" s="151"/>
      <c r="J15" s="152"/>
      <c r="K15" s="42"/>
      <c r="L15" s="40"/>
      <c r="M15" s="41"/>
      <c r="N15" s="42"/>
      <c r="O15" s="65"/>
    </row>
    <row r="16" spans="1:16" ht="19.5" customHeight="1" x14ac:dyDescent="0.2">
      <c r="A16" s="139"/>
      <c r="B16" s="161" t="str">
        <f>Database!C36</f>
        <v>Fault Recorder</v>
      </c>
      <c r="C16" s="150"/>
      <c r="D16" s="142"/>
      <c r="E16" s="142"/>
      <c r="F16" s="143"/>
      <c r="G16" s="236" t="str">
        <f>Database!$D$35</f>
        <v>0</v>
      </c>
      <c r="H16" s="47"/>
      <c r="I16" s="47"/>
      <c r="J16" s="47"/>
      <c r="K16" s="42"/>
      <c r="L16" s="40"/>
      <c r="M16" s="41"/>
      <c r="N16" s="42"/>
      <c r="O16" s="65"/>
    </row>
    <row r="17" spans="1:15" ht="19.5" customHeight="1" x14ac:dyDescent="0.2">
      <c r="A17" s="56"/>
      <c r="B17" s="164" t="str">
        <f>Database!C37</f>
        <v>Sequence of Events Recorder</v>
      </c>
      <c r="C17" s="149"/>
      <c r="D17" s="144"/>
      <c r="E17" s="144"/>
      <c r="F17" s="145"/>
      <c r="G17" s="237"/>
      <c r="H17" s="115"/>
      <c r="I17" s="115"/>
      <c r="J17" s="115"/>
      <c r="K17" s="42"/>
      <c r="L17" s="40"/>
      <c r="M17" s="41"/>
      <c r="N17" s="42"/>
      <c r="O17" s="65"/>
    </row>
    <row r="18" spans="1:15" ht="19.5" customHeight="1" x14ac:dyDescent="0.2">
      <c r="A18" s="56"/>
      <c r="B18" s="164" t="str">
        <f>Database!C38</f>
        <v>Disturbance Recorder</v>
      </c>
      <c r="C18" s="149"/>
      <c r="D18" s="144"/>
      <c r="E18" s="144"/>
      <c r="F18" s="145"/>
      <c r="G18" s="237"/>
      <c r="H18" s="115"/>
      <c r="I18" s="115"/>
      <c r="J18" s="115"/>
      <c r="K18" s="42"/>
      <c r="L18" s="40"/>
      <c r="M18" s="41"/>
      <c r="N18" s="42"/>
      <c r="O18" s="65"/>
    </row>
    <row r="19" spans="1:15" ht="19.5" customHeight="1" x14ac:dyDescent="0.2">
      <c r="A19" s="141"/>
      <c r="B19" s="165" t="str">
        <f>Database!C39</f>
        <v>Continuous Fault and Disturbance Recorder</v>
      </c>
      <c r="C19" s="146"/>
      <c r="D19" s="147"/>
      <c r="E19" s="147"/>
      <c r="F19" s="148"/>
      <c r="G19" s="238"/>
      <c r="H19" s="154"/>
      <c r="I19" s="154"/>
      <c r="J19" s="154"/>
      <c r="K19" s="42"/>
      <c r="L19" s="156"/>
      <c r="M19" s="41"/>
      <c r="N19" s="42"/>
      <c r="O19" s="65"/>
    </row>
    <row r="20" spans="1:15" ht="17.25" customHeight="1" x14ac:dyDescent="0.2">
      <c r="A20" s="118" t="str">
        <f>Database!A45</f>
        <v>Customization / Regionalisation</v>
      </c>
      <c r="B20" s="56"/>
      <c r="C20" s="56"/>
      <c r="D20" s="56"/>
      <c r="E20" s="56"/>
      <c r="F20" s="56"/>
      <c r="G20" s="48"/>
      <c r="H20" s="45"/>
      <c r="I20" s="45"/>
      <c r="J20" s="45"/>
      <c r="K20" s="45"/>
      <c r="L20" s="40"/>
      <c r="M20" s="41"/>
      <c r="N20" s="42"/>
      <c r="O20" s="65"/>
    </row>
    <row r="21" spans="1:15" ht="26.25" customHeight="1" x14ac:dyDescent="0.2">
      <c r="A21" s="112"/>
      <c r="B21" s="56"/>
      <c r="C21" s="56"/>
      <c r="D21" s="56"/>
      <c r="E21" s="56"/>
      <c r="F21" s="56"/>
      <c r="G21" s="44" t="str">
        <f>Database!$D$45</f>
        <v>C</v>
      </c>
      <c r="H21" s="114"/>
      <c r="I21" s="114"/>
      <c r="J21" s="114"/>
      <c r="K21" s="114"/>
      <c r="L21" s="40"/>
      <c r="M21" s="41"/>
      <c r="N21" s="42"/>
      <c r="O21" s="65"/>
    </row>
    <row r="22" spans="1:15" ht="18" customHeight="1" x14ac:dyDescent="0.2">
      <c r="A22" s="118" t="str">
        <f>Database!A53</f>
        <v>Firmware Version</v>
      </c>
      <c r="B22" s="56"/>
      <c r="C22" s="56"/>
      <c r="D22" s="56"/>
      <c r="E22" s="56"/>
      <c r="F22" s="56"/>
      <c r="G22" s="157"/>
      <c r="H22" s="46"/>
      <c r="I22" s="46"/>
      <c r="J22" s="46"/>
      <c r="K22" s="46"/>
      <c r="L22" s="46"/>
      <c r="M22" s="41"/>
      <c r="N22" s="42"/>
      <c r="O22" s="65"/>
    </row>
    <row r="23" spans="1:15" ht="48" customHeight="1" x14ac:dyDescent="0.2">
      <c r="A23" s="112"/>
      <c r="B23" s="56"/>
      <c r="C23" s="56"/>
      <c r="D23" s="56"/>
      <c r="E23" s="56"/>
      <c r="F23" s="56"/>
      <c r="G23" s="44">
        <f>Database!$D$53</f>
        <v>14</v>
      </c>
      <c r="H23" s="43"/>
      <c r="I23" s="43"/>
      <c r="J23" s="43"/>
      <c r="K23" s="43"/>
      <c r="L23" s="43"/>
      <c r="M23" s="41"/>
      <c r="N23" s="42"/>
      <c r="O23" s="65"/>
    </row>
    <row r="24" spans="1:15" ht="18" customHeight="1" x14ac:dyDescent="0.2">
      <c r="A24" s="118" t="str">
        <f>Database!A60</f>
        <v>Hardware Design Suffix</v>
      </c>
      <c r="B24" s="56"/>
      <c r="C24" s="56"/>
      <c r="D24" s="56"/>
      <c r="E24" s="56"/>
      <c r="F24" s="56"/>
      <c r="G24" s="160"/>
      <c r="H24" s="47"/>
      <c r="I24" s="47"/>
      <c r="J24" s="47"/>
      <c r="K24" s="47"/>
      <c r="L24" s="47"/>
      <c r="M24" s="47"/>
      <c r="N24" s="42"/>
      <c r="O24" s="65"/>
    </row>
    <row r="25" spans="1:15" ht="22.5" customHeight="1" x14ac:dyDescent="0.2">
      <c r="A25" s="112"/>
      <c r="B25" s="56"/>
      <c r="C25" s="56"/>
      <c r="D25" s="56"/>
      <c r="E25" s="56"/>
      <c r="F25" s="56"/>
      <c r="G25" s="158" t="str">
        <f>Database!$D$60</f>
        <v>D</v>
      </c>
      <c r="H25" s="159"/>
      <c r="I25" s="154"/>
      <c r="J25" s="154"/>
      <c r="K25" s="154"/>
      <c r="L25" s="154"/>
      <c r="M25" s="154"/>
      <c r="N25" s="155"/>
      <c r="O25" s="65"/>
    </row>
    <row r="26" spans="1:15" ht="17.25" customHeight="1" thickBot="1" x14ac:dyDescent="0.25">
      <c r="A26" s="116"/>
      <c r="B26" s="66"/>
      <c r="C26" s="66"/>
      <c r="D26" s="66"/>
      <c r="E26" s="66"/>
      <c r="F26" s="66"/>
      <c r="G26" s="117"/>
      <c r="H26" s="117"/>
      <c r="I26" s="117"/>
      <c r="J26" s="117"/>
      <c r="K26" s="117"/>
      <c r="L26" s="117"/>
      <c r="M26" s="117"/>
      <c r="N26" s="117"/>
      <c r="O26" s="67"/>
    </row>
  </sheetData>
  <sheetProtection algorithmName="SHA-512" hashValue="Hbct0Eba6c01AgCT43R7SpoYpn0XC45CE3bAXDXit2HMx3IYZdCdPHVvL41fIM0ZOzcadCDeHRMXATt3S+FGLA==" saltValue="bV3OY4xcIyuAJn7iIqtX5w==" spinCount="100000" sheet="1" objects="1" scenarios="1"/>
  <mergeCells count="3">
    <mergeCell ref="G12:G15"/>
    <mergeCell ref="G16:G19"/>
    <mergeCell ref="G9:G11"/>
  </mergeCells>
  <phoneticPr fontId="19" type="noConversion"/>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List Box 2">
              <controlPr defaultSize="0" autoLine="0" autoPict="0">
                <anchor moveWithCells="1">
                  <from>
                    <xdr:col>0</xdr:col>
                    <xdr:colOff>0</xdr:colOff>
                    <xdr:row>4</xdr:row>
                    <xdr:rowOff>0</xdr:rowOff>
                  </from>
                  <to>
                    <xdr:col>5</xdr:col>
                    <xdr:colOff>762000</xdr:colOff>
                    <xdr:row>4</xdr:row>
                    <xdr:rowOff>323850</xdr:rowOff>
                  </to>
                </anchor>
              </controlPr>
            </control>
          </mc:Choice>
        </mc:AlternateContent>
        <mc:AlternateContent xmlns:mc="http://schemas.openxmlformats.org/markup-compatibility/2006">
          <mc:Choice Requires="x14">
            <control shapeId="8197" r:id="rId5" name="List Box 5">
              <controlPr defaultSize="0" autoLine="0" autoPict="0">
                <anchor moveWithCells="1">
                  <from>
                    <xdr:col>0</xdr:col>
                    <xdr:colOff>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8207" r:id="rId6" name="List Box 15">
              <controlPr defaultSize="0" autoLine="0" autoPict="0">
                <anchor moveWithCells="1">
                  <from>
                    <xdr:col>0</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8211" r:id="rId7" name="List Box 19">
              <controlPr defaultSize="0" autoLine="0" autoPict="0">
                <anchor moveWithCells="1">
                  <from>
                    <xdr:col>0</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8213" r:id="rId8" name="List Box 21">
              <controlPr defaultSize="0" autoLine="0" autoPict="0">
                <anchor moveWithCells="1">
                  <from>
                    <xdr:col>0</xdr:col>
                    <xdr:colOff>0</xdr:colOff>
                    <xdr:row>24</xdr:row>
                    <xdr:rowOff>0</xdr:rowOff>
                  </from>
                  <to>
                    <xdr:col>6</xdr:col>
                    <xdr:colOff>0</xdr:colOff>
                    <xdr:row>25</xdr:row>
                    <xdr:rowOff>0</xdr:rowOff>
                  </to>
                </anchor>
              </controlPr>
            </control>
          </mc:Choice>
        </mc:AlternateContent>
        <mc:AlternateContent xmlns:mc="http://schemas.openxmlformats.org/markup-compatibility/2006">
          <mc:Choice Requires="x14">
            <control shapeId="8232" r:id="rId9" name="Check Box 40">
              <controlPr defaultSize="0" autoFill="0" autoLine="0" autoPict="0">
                <anchor moveWithCells="1">
                  <from>
                    <xdr:col>0</xdr:col>
                    <xdr:colOff>19050</xdr:colOff>
                    <xdr:row>9</xdr:row>
                    <xdr:rowOff>9525</xdr:rowOff>
                  </from>
                  <to>
                    <xdr:col>1</xdr:col>
                    <xdr:colOff>19050</xdr:colOff>
                    <xdr:row>9</xdr:row>
                    <xdr:rowOff>228600</xdr:rowOff>
                  </to>
                </anchor>
              </controlPr>
            </control>
          </mc:Choice>
        </mc:AlternateContent>
        <mc:AlternateContent xmlns:mc="http://schemas.openxmlformats.org/markup-compatibility/2006">
          <mc:Choice Requires="x14">
            <control shapeId="8234" r:id="rId10" name="Check Box 42">
              <controlPr defaultSize="0" autoFill="0" autoLine="0" autoPict="0">
                <anchor moveWithCells="1">
                  <from>
                    <xdr:col>0</xdr:col>
                    <xdr:colOff>19050</xdr:colOff>
                    <xdr:row>10</xdr:row>
                    <xdr:rowOff>9525</xdr:rowOff>
                  </from>
                  <to>
                    <xdr:col>1</xdr:col>
                    <xdr:colOff>19050</xdr:colOff>
                    <xdr:row>10</xdr:row>
                    <xdr:rowOff>228600</xdr:rowOff>
                  </to>
                </anchor>
              </controlPr>
            </control>
          </mc:Choice>
        </mc:AlternateContent>
        <mc:AlternateContent xmlns:mc="http://schemas.openxmlformats.org/markup-compatibility/2006">
          <mc:Choice Requires="x14">
            <control shapeId="8236" r:id="rId11" name="Check Box 44">
              <controlPr defaultSize="0" autoFill="0" autoLine="0" autoPict="0">
                <anchor moveWithCells="1">
                  <from>
                    <xdr:col>0</xdr:col>
                    <xdr:colOff>19050</xdr:colOff>
                    <xdr:row>11</xdr:row>
                    <xdr:rowOff>9525</xdr:rowOff>
                  </from>
                  <to>
                    <xdr:col>1</xdr:col>
                    <xdr:colOff>19050</xdr:colOff>
                    <xdr:row>11</xdr:row>
                    <xdr:rowOff>228600</xdr:rowOff>
                  </to>
                </anchor>
              </controlPr>
            </control>
          </mc:Choice>
        </mc:AlternateContent>
        <mc:AlternateContent xmlns:mc="http://schemas.openxmlformats.org/markup-compatibility/2006">
          <mc:Choice Requires="x14">
            <control shapeId="8238" r:id="rId12" name="Check Box 46">
              <controlPr defaultSize="0" autoFill="0" autoLine="0" autoPict="0">
                <anchor moveWithCells="1">
                  <from>
                    <xdr:col>0</xdr:col>
                    <xdr:colOff>19050</xdr:colOff>
                    <xdr:row>12</xdr:row>
                    <xdr:rowOff>9525</xdr:rowOff>
                  </from>
                  <to>
                    <xdr:col>1</xdr:col>
                    <xdr:colOff>19050</xdr:colOff>
                    <xdr:row>12</xdr:row>
                    <xdr:rowOff>228600</xdr:rowOff>
                  </to>
                </anchor>
              </controlPr>
            </control>
          </mc:Choice>
        </mc:AlternateContent>
        <mc:AlternateContent xmlns:mc="http://schemas.openxmlformats.org/markup-compatibility/2006">
          <mc:Choice Requires="x14">
            <control shapeId="8240" r:id="rId13" name="Check Box 48">
              <controlPr defaultSize="0" autoFill="0" autoLine="0" autoPict="0">
                <anchor moveWithCells="1">
                  <from>
                    <xdr:col>0</xdr:col>
                    <xdr:colOff>19050</xdr:colOff>
                    <xdr:row>13</xdr:row>
                    <xdr:rowOff>9525</xdr:rowOff>
                  </from>
                  <to>
                    <xdr:col>1</xdr:col>
                    <xdr:colOff>19050</xdr:colOff>
                    <xdr:row>13</xdr:row>
                    <xdr:rowOff>228600</xdr:rowOff>
                  </to>
                </anchor>
              </controlPr>
            </control>
          </mc:Choice>
        </mc:AlternateContent>
        <mc:AlternateContent xmlns:mc="http://schemas.openxmlformats.org/markup-compatibility/2006">
          <mc:Choice Requires="x14">
            <control shapeId="8242" r:id="rId14" name="Check Box 50">
              <controlPr defaultSize="0" autoFill="0" autoLine="0" autoPict="0">
                <anchor moveWithCells="1">
                  <from>
                    <xdr:col>0</xdr:col>
                    <xdr:colOff>19050</xdr:colOff>
                    <xdr:row>14</xdr:row>
                    <xdr:rowOff>9525</xdr:rowOff>
                  </from>
                  <to>
                    <xdr:col>1</xdr:col>
                    <xdr:colOff>19050</xdr:colOff>
                    <xdr:row>14</xdr:row>
                    <xdr:rowOff>228600</xdr:rowOff>
                  </to>
                </anchor>
              </controlPr>
            </control>
          </mc:Choice>
        </mc:AlternateContent>
        <mc:AlternateContent xmlns:mc="http://schemas.openxmlformats.org/markup-compatibility/2006">
          <mc:Choice Requires="x14">
            <control shapeId="8244" r:id="rId15" name="Check Box 52">
              <controlPr defaultSize="0" autoFill="0" autoLine="0" autoPict="0">
                <anchor moveWithCells="1">
                  <from>
                    <xdr:col>0</xdr:col>
                    <xdr:colOff>19050</xdr:colOff>
                    <xdr:row>15</xdr:row>
                    <xdr:rowOff>9525</xdr:rowOff>
                  </from>
                  <to>
                    <xdr:col>1</xdr:col>
                    <xdr:colOff>19050</xdr:colOff>
                    <xdr:row>15</xdr:row>
                    <xdr:rowOff>228600</xdr:rowOff>
                  </to>
                </anchor>
              </controlPr>
            </control>
          </mc:Choice>
        </mc:AlternateContent>
        <mc:AlternateContent xmlns:mc="http://schemas.openxmlformats.org/markup-compatibility/2006">
          <mc:Choice Requires="x14">
            <control shapeId="8246" r:id="rId16" name="Check Box 54">
              <controlPr defaultSize="0" autoFill="0" autoLine="0" autoPict="0">
                <anchor moveWithCells="1">
                  <from>
                    <xdr:col>0</xdr:col>
                    <xdr:colOff>19050</xdr:colOff>
                    <xdr:row>16</xdr:row>
                    <xdr:rowOff>9525</xdr:rowOff>
                  </from>
                  <to>
                    <xdr:col>1</xdr:col>
                    <xdr:colOff>19050</xdr:colOff>
                    <xdr:row>16</xdr:row>
                    <xdr:rowOff>228600</xdr:rowOff>
                  </to>
                </anchor>
              </controlPr>
            </control>
          </mc:Choice>
        </mc:AlternateContent>
        <mc:AlternateContent xmlns:mc="http://schemas.openxmlformats.org/markup-compatibility/2006">
          <mc:Choice Requires="x14">
            <control shapeId="8248" r:id="rId17" name="Check Box 56">
              <controlPr defaultSize="0" autoFill="0" autoLine="0" autoPict="0">
                <anchor moveWithCells="1">
                  <from>
                    <xdr:col>0</xdr:col>
                    <xdr:colOff>19050</xdr:colOff>
                    <xdr:row>17</xdr:row>
                    <xdr:rowOff>9525</xdr:rowOff>
                  </from>
                  <to>
                    <xdr:col>1</xdr:col>
                    <xdr:colOff>19050</xdr:colOff>
                    <xdr:row>17</xdr:row>
                    <xdr:rowOff>228600</xdr:rowOff>
                  </to>
                </anchor>
              </controlPr>
            </control>
          </mc:Choice>
        </mc:AlternateContent>
        <mc:AlternateContent xmlns:mc="http://schemas.openxmlformats.org/markup-compatibility/2006">
          <mc:Choice Requires="x14">
            <control shapeId="8250" r:id="rId18" name="Check Box 58">
              <controlPr defaultSize="0" autoFill="0" autoLine="0" autoPict="0">
                <anchor moveWithCells="1">
                  <from>
                    <xdr:col>0</xdr:col>
                    <xdr:colOff>19050</xdr:colOff>
                    <xdr:row>18</xdr:row>
                    <xdr:rowOff>9525</xdr:rowOff>
                  </from>
                  <to>
                    <xdr:col>1</xdr:col>
                    <xdr:colOff>19050</xdr:colOff>
                    <xdr:row>18</xdr:row>
                    <xdr:rowOff>228600</xdr:rowOff>
                  </to>
                </anchor>
              </controlPr>
            </control>
          </mc:Choice>
        </mc:AlternateContent>
        <mc:AlternateContent xmlns:mc="http://schemas.openxmlformats.org/markup-compatibility/2006">
          <mc:Choice Requires="x14">
            <control shapeId="8251" r:id="rId19" name="Check Box 59">
              <controlPr defaultSize="0" autoFill="0" autoLine="0" autoPict="0">
                <anchor moveWithCells="1">
                  <from>
                    <xdr:col>0</xdr:col>
                    <xdr:colOff>19050</xdr:colOff>
                    <xdr:row>8</xdr:row>
                    <xdr:rowOff>9525</xdr:rowOff>
                  </from>
                  <to>
                    <xdr:col>1</xdr:col>
                    <xdr:colOff>19050</xdr:colOff>
                    <xdr:row>8</xdr:row>
                    <xdr:rowOff>228600</xdr:rowOff>
                  </to>
                </anchor>
              </controlPr>
            </control>
          </mc:Choice>
        </mc:AlternateContent>
        <mc:AlternateContent xmlns:mc="http://schemas.openxmlformats.org/markup-compatibility/2006">
          <mc:Choice Requires="x14">
            <control shapeId="8252" r:id="rId20" name="Check Box 60">
              <controlPr defaultSize="0" autoFill="0" autoLine="0" autoPict="0">
                <anchor moveWithCells="1">
                  <from>
                    <xdr:col>0</xdr:col>
                    <xdr:colOff>19050</xdr:colOff>
                    <xdr:row>9</xdr:row>
                    <xdr:rowOff>9525</xdr:rowOff>
                  </from>
                  <to>
                    <xdr:col>1</xdr:col>
                    <xdr:colOff>19050</xdr:colOff>
                    <xdr:row>9</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stopIfTrue="1" id="{A3B9B9B7-6726-4268-9F39-224A4E719EFB}">
            <xm:f>NOT(AND(Database!$E$27,$G$23&gt;=13))</xm:f>
            <x14:dxf>
              <font>
                <strike/>
              </font>
              <fill>
                <patternFill patternType="none">
                  <bgColor auto="1"/>
                </patternFill>
              </fill>
            </x14:dxf>
          </x14:cfRule>
          <xm:sqref>B11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I38"/>
  <sheetViews>
    <sheetView showGridLines="0" showRowColHeaders="0" zoomScaleNormal="100" workbookViewId="0">
      <pane ySplit="1" topLeftCell="A11" activePane="bottomLeft" state="frozen"/>
      <selection pane="bottomLeft" activeCell="R32" sqref="R32"/>
    </sheetView>
  </sheetViews>
  <sheetFormatPr defaultRowHeight="14.25" x14ac:dyDescent="0.2"/>
  <cols>
    <col min="1" max="1" width="8.5703125" style="2" customWidth="1"/>
    <col min="2" max="4" width="9.140625" style="2"/>
    <col min="5" max="5" width="10.140625" style="2" bestFit="1" customWidth="1"/>
    <col min="6" max="6" width="9.140625" style="2"/>
    <col min="7" max="7" width="13.42578125" style="2" customWidth="1"/>
    <col min="8" max="8" width="10.7109375" style="2" customWidth="1"/>
    <col min="9" max="16384" width="9.140625" style="2"/>
  </cols>
  <sheetData>
    <row r="1" spans="1:9" ht="15.75" x14ac:dyDescent="0.25">
      <c r="A1" s="58" t="str">
        <f>Database!$C$2</f>
        <v>RPV3113E000C14D</v>
      </c>
      <c r="B1" s="59"/>
      <c r="C1" s="59"/>
      <c r="D1" s="59"/>
      <c r="E1" s="51"/>
      <c r="F1" s="51"/>
      <c r="G1" s="51"/>
      <c r="H1" s="51"/>
      <c r="I1" s="64"/>
    </row>
    <row r="2" spans="1:9" ht="15" x14ac:dyDescent="0.25">
      <c r="A2" s="55" t="str">
        <f>Database!$A$2</f>
        <v>RPV311 Multifunction Recorder</v>
      </c>
      <c r="B2" s="56"/>
      <c r="C2" s="56"/>
      <c r="D2" s="56"/>
      <c r="E2" s="56"/>
      <c r="F2" s="56"/>
      <c r="G2" s="56"/>
      <c r="H2" s="56"/>
      <c r="I2" s="65"/>
    </row>
    <row r="3" spans="1:9" ht="15" x14ac:dyDescent="0.25">
      <c r="A3" s="55" t="str">
        <f>Database!$A$3</f>
        <v>Power Supply</v>
      </c>
      <c r="B3" s="56"/>
      <c r="C3" s="56"/>
      <c r="D3" s="56"/>
      <c r="E3" s="56"/>
      <c r="F3" s="56"/>
      <c r="G3" s="56"/>
      <c r="H3" s="56"/>
      <c r="I3" s="65"/>
    </row>
    <row r="4" spans="1:9" x14ac:dyDescent="0.2">
      <c r="A4" s="120" t="str">
        <f>Database!$C$3</f>
        <v>100-250 Vdc / 110-240 Vac</v>
      </c>
      <c r="B4" s="56"/>
      <c r="C4" s="56"/>
      <c r="D4" s="56"/>
      <c r="E4" s="56"/>
      <c r="F4" s="56"/>
      <c r="G4" s="56"/>
      <c r="H4" s="56"/>
      <c r="I4" s="65"/>
    </row>
    <row r="5" spans="1:9" ht="15" x14ac:dyDescent="0.25">
      <c r="A5" s="55" t="str">
        <f>Database!$A$10</f>
        <v>Network Interface</v>
      </c>
      <c r="B5" s="56"/>
      <c r="C5" s="56"/>
      <c r="D5" s="56"/>
      <c r="E5" s="56"/>
      <c r="F5" s="56"/>
      <c r="G5" s="56"/>
      <c r="H5" s="56"/>
      <c r="I5" s="65"/>
    </row>
    <row r="6" spans="1:9" x14ac:dyDescent="0.2">
      <c r="A6" s="57" t="str">
        <f>Database!$C$10</f>
        <v>Two RJ45 copper 100BASE-TX Ethernet interfaces</v>
      </c>
      <c r="B6" s="56"/>
      <c r="C6" s="56"/>
      <c r="D6" s="56"/>
      <c r="E6" s="56"/>
      <c r="F6" s="56"/>
      <c r="G6" s="56"/>
      <c r="H6" s="56"/>
      <c r="I6" s="65"/>
    </row>
    <row r="7" spans="1:9" ht="15" x14ac:dyDescent="0.25">
      <c r="A7" s="121" t="str">
        <f>Database!$A$17</f>
        <v>Functions and Protocols</v>
      </c>
      <c r="B7" s="56"/>
      <c r="C7" s="56"/>
      <c r="D7" s="56"/>
      <c r="E7" s="56"/>
      <c r="F7" s="56"/>
      <c r="G7" s="56"/>
      <c r="H7" s="56"/>
      <c r="I7" s="65"/>
    </row>
    <row r="8" spans="1:9" x14ac:dyDescent="0.2">
      <c r="A8" s="57" t="str">
        <f>Database!H18</f>
        <v>---</v>
      </c>
      <c r="B8" s="56"/>
      <c r="C8" s="56"/>
      <c r="D8" s="56"/>
      <c r="E8" s="56"/>
      <c r="F8" s="56"/>
      <c r="G8" s="56"/>
      <c r="H8" s="56"/>
      <c r="I8" s="65"/>
    </row>
    <row r="9" spans="1:9" x14ac:dyDescent="0.2">
      <c r="A9" s="57" t="str">
        <f>Database!H19</f>
        <v>---</v>
      </c>
      <c r="B9" s="56"/>
      <c r="C9" s="56"/>
      <c r="D9" s="56"/>
      <c r="E9" s="56"/>
      <c r="F9" s="56"/>
      <c r="G9" s="56"/>
      <c r="H9" s="56"/>
      <c r="I9" s="65"/>
    </row>
    <row r="10" spans="1:9" s="210" customFormat="1" x14ac:dyDescent="0.2">
      <c r="A10" s="57" t="str">
        <f>Database!H20</f>
        <v>---</v>
      </c>
      <c r="B10" s="56"/>
      <c r="C10" s="56"/>
      <c r="D10" s="56"/>
      <c r="E10" s="56"/>
      <c r="F10" s="56"/>
      <c r="G10" s="56"/>
      <c r="H10" s="56"/>
      <c r="I10" s="65"/>
    </row>
    <row r="11" spans="1:9" x14ac:dyDescent="0.2">
      <c r="A11" s="57" t="str">
        <f>Database!H27</f>
        <v>---</v>
      </c>
      <c r="B11" s="56"/>
      <c r="C11" s="56"/>
      <c r="D11" s="56"/>
      <c r="E11" s="56"/>
      <c r="F11" s="56"/>
      <c r="G11" s="56"/>
      <c r="H11" s="56"/>
      <c r="I11" s="65"/>
    </row>
    <row r="12" spans="1:9" x14ac:dyDescent="0.2">
      <c r="A12" s="57" t="str">
        <f>Database!H28</f>
        <v>---</v>
      </c>
      <c r="B12" s="56"/>
      <c r="C12" s="56"/>
      <c r="D12" s="56"/>
      <c r="E12" s="56"/>
      <c r="F12" s="56"/>
      <c r="G12" s="56"/>
      <c r="H12" s="56"/>
      <c r="I12" s="65"/>
    </row>
    <row r="13" spans="1:9" x14ac:dyDescent="0.2">
      <c r="A13" s="57" t="str">
        <f>Database!H29</f>
        <v>---</v>
      </c>
      <c r="B13" s="56"/>
      <c r="C13" s="56"/>
      <c r="D13" s="56"/>
      <c r="E13" s="56"/>
      <c r="F13" s="56"/>
      <c r="G13" s="56"/>
      <c r="H13" s="56"/>
      <c r="I13" s="65"/>
    </row>
    <row r="14" spans="1:9" x14ac:dyDescent="0.2">
      <c r="A14" s="57" t="str">
        <f>Database!H30</f>
        <v>---</v>
      </c>
      <c r="B14" s="56"/>
      <c r="C14" s="56"/>
      <c r="D14" s="56"/>
      <c r="E14" s="56"/>
      <c r="F14" s="56"/>
      <c r="G14" s="56"/>
      <c r="H14" s="56"/>
      <c r="I14" s="65"/>
    </row>
    <row r="15" spans="1:9" x14ac:dyDescent="0.2">
      <c r="A15" s="57" t="str">
        <f>Database!H36</f>
        <v>---</v>
      </c>
      <c r="B15" s="56"/>
      <c r="C15" s="56"/>
      <c r="D15" s="56"/>
      <c r="E15" s="56"/>
      <c r="F15" s="56"/>
      <c r="G15" s="56"/>
      <c r="H15" s="56"/>
      <c r="I15" s="65"/>
    </row>
    <row r="16" spans="1:9" x14ac:dyDescent="0.2">
      <c r="A16" s="57" t="str">
        <f>Database!H37</f>
        <v>---</v>
      </c>
      <c r="B16" s="56"/>
      <c r="C16" s="56"/>
      <c r="D16" s="56"/>
      <c r="E16" s="56"/>
      <c r="F16" s="56"/>
      <c r="G16" s="56"/>
      <c r="H16" s="56"/>
      <c r="I16" s="65"/>
    </row>
    <row r="17" spans="1:9" x14ac:dyDescent="0.2">
      <c r="A17" s="57" t="str">
        <f>Database!H38</f>
        <v>---</v>
      </c>
      <c r="B17" s="56"/>
      <c r="C17" s="56"/>
      <c r="D17" s="56"/>
      <c r="E17" s="56"/>
      <c r="F17" s="56"/>
      <c r="G17" s="56"/>
      <c r="H17" s="56"/>
      <c r="I17" s="65"/>
    </row>
    <row r="18" spans="1:9" x14ac:dyDescent="0.2">
      <c r="A18" s="57" t="str">
        <f>Database!H39</f>
        <v>---</v>
      </c>
      <c r="B18" s="56"/>
      <c r="C18" s="56"/>
      <c r="D18" s="56"/>
      <c r="E18" s="56"/>
      <c r="F18" s="56"/>
      <c r="G18" s="56"/>
      <c r="H18" s="56"/>
      <c r="I18" s="65"/>
    </row>
    <row r="19" spans="1:9" ht="15" x14ac:dyDescent="0.25">
      <c r="A19" s="121" t="str">
        <f>Database!$A$45</f>
        <v>Customization / Regionalisation</v>
      </c>
      <c r="B19" s="56"/>
      <c r="C19" s="56"/>
      <c r="D19" s="56"/>
      <c r="E19" s="56"/>
      <c r="F19" s="56"/>
      <c r="G19" s="56"/>
      <c r="H19" s="56"/>
      <c r="I19" s="65"/>
    </row>
    <row r="20" spans="1:9" x14ac:dyDescent="0.2">
      <c r="A20" s="120" t="str">
        <f>Database!$C$45</f>
        <v>GE branding</v>
      </c>
      <c r="B20" s="56"/>
      <c r="C20" s="56"/>
      <c r="D20" s="56"/>
      <c r="E20" s="56"/>
      <c r="F20" s="56"/>
      <c r="G20" s="56"/>
      <c r="H20" s="56"/>
      <c r="I20" s="65"/>
    </row>
    <row r="21" spans="1:9" ht="15" x14ac:dyDescent="0.25">
      <c r="A21" s="55" t="str">
        <f>Database!$A$53</f>
        <v>Firmware Version</v>
      </c>
      <c r="B21" s="56"/>
      <c r="C21" s="56"/>
      <c r="D21" s="56"/>
      <c r="E21" s="56"/>
      <c r="F21" s="56"/>
      <c r="G21" s="56"/>
      <c r="H21" s="56"/>
      <c r="I21" s="65"/>
    </row>
    <row r="22" spans="1:9" x14ac:dyDescent="0.2">
      <c r="A22" s="169">
        <f>Database!$D$53</f>
        <v>14</v>
      </c>
      <c r="B22" s="56"/>
      <c r="C22" s="56"/>
      <c r="D22" s="56"/>
      <c r="E22" s="56"/>
      <c r="F22" s="56"/>
      <c r="G22" s="56"/>
      <c r="H22" s="56"/>
      <c r="I22" s="65"/>
    </row>
    <row r="23" spans="1:9" ht="15" x14ac:dyDescent="0.25">
      <c r="A23" s="55" t="str">
        <f>Database!$A$60</f>
        <v>Hardware Design Suffix</v>
      </c>
      <c r="B23" s="56"/>
      <c r="C23" s="56"/>
      <c r="D23" s="56"/>
      <c r="E23" s="56"/>
      <c r="F23" s="56"/>
      <c r="G23" s="56"/>
      <c r="H23" s="56"/>
      <c r="I23" s="65"/>
    </row>
    <row r="24" spans="1:9" x14ac:dyDescent="0.2">
      <c r="A24" s="57" t="str">
        <f>Database!$C$60</f>
        <v>Fourth version</v>
      </c>
      <c r="B24" s="56"/>
      <c r="C24" s="56"/>
      <c r="D24" s="56"/>
      <c r="E24" s="56"/>
      <c r="F24" s="56"/>
      <c r="G24" s="56"/>
      <c r="H24" s="56"/>
      <c r="I24" s="65"/>
    </row>
    <row r="25" spans="1:9" ht="15" thickBot="1" x14ac:dyDescent="0.25">
      <c r="A25" s="66"/>
      <c r="B25" s="66"/>
      <c r="C25" s="66"/>
      <c r="D25" s="66"/>
      <c r="E25" s="66"/>
      <c r="F25" s="66"/>
      <c r="G25" s="66"/>
      <c r="H25" s="66"/>
      <c r="I25" s="67"/>
    </row>
    <row r="26" spans="1:9" x14ac:dyDescent="0.2">
      <c r="A26" s="56"/>
      <c r="B26" s="56"/>
      <c r="C26" s="56"/>
      <c r="D26" s="56"/>
      <c r="E26" s="56"/>
      <c r="F26" s="56"/>
      <c r="G26" s="56"/>
      <c r="H26" s="56"/>
      <c r="I26" s="65"/>
    </row>
    <row r="27" spans="1:9" x14ac:dyDescent="0.2">
      <c r="A27" s="60" t="str">
        <f>HLOOKUP(Language!$C$3,Language!$E$1:$Z564,29,FALSE)</f>
        <v>Issue</v>
      </c>
      <c r="B27" s="61"/>
      <c r="C27" s="61"/>
      <c r="D27" s="56"/>
      <c r="E27" s="56"/>
      <c r="F27" s="56"/>
      <c r="G27" s="56"/>
      <c r="H27" s="56"/>
      <c r="I27" s="65"/>
    </row>
    <row r="28" spans="1:9" x14ac:dyDescent="0.2">
      <c r="A28" s="62"/>
      <c r="B28" s="63" t="s">
        <v>0</v>
      </c>
      <c r="C28" s="239" t="str">
        <f>HLOOKUP(Language!$C$3,Language!$E$1:$Z564,30,FALSE)</f>
        <v>Original Created</v>
      </c>
      <c r="D28" s="240"/>
      <c r="E28" s="240"/>
      <c r="F28" s="240"/>
      <c r="G28" s="240"/>
      <c r="H28" s="206">
        <v>41654</v>
      </c>
      <c r="I28" s="68"/>
    </row>
    <row r="29" spans="1:9" s="210" customFormat="1" ht="27.95" customHeight="1" x14ac:dyDescent="0.2">
      <c r="A29" s="211"/>
      <c r="B29" s="209" t="s">
        <v>1</v>
      </c>
      <c r="C29" s="239" t="str">
        <f>HLOOKUP(Language!$C$3,Language!$E$1:$Z564,39,FALSE)</f>
        <v>Added firmware version 12 and the 24-48 Vdc power supply option</v>
      </c>
      <c r="D29" s="240"/>
      <c r="E29" s="240"/>
      <c r="F29" s="240"/>
      <c r="G29" s="240"/>
      <c r="H29" s="213">
        <v>41992</v>
      </c>
      <c r="I29" s="212"/>
    </row>
    <row r="30" spans="1:9" s="210" customFormat="1" ht="27.95" customHeight="1" x14ac:dyDescent="0.2">
      <c r="A30" s="211"/>
      <c r="B30" s="209" t="s">
        <v>2</v>
      </c>
      <c r="C30" s="239" t="str">
        <f>HLOOKUP(Language!$C$3,Language!$E$1:$Z563,42,FALSE)</f>
        <v>Added WMU function and corrected power supply range for option 3</v>
      </c>
      <c r="D30" s="240"/>
      <c r="E30" s="240"/>
      <c r="F30" s="240"/>
      <c r="G30" s="240"/>
      <c r="H30" s="213">
        <v>42237</v>
      </c>
      <c r="I30" s="212"/>
    </row>
    <row r="31" spans="1:9" s="210" customFormat="1" ht="27.95" customHeight="1" x14ac:dyDescent="0.2">
      <c r="A31" s="211"/>
      <c r="B31" s="209" t="s">
        <v>123</v>
      </c>
      <c r="C31" s="239" t="str">
        <f>HLOOKUP(Language!$C$3,Language!$E$1:$Z564,45,FALSE)</f>
        <v>Corrected invalid field in WMU configuration</v>
      </c>
      <c r="D31" s="240"/>
      <c r="E31" s="240"/>
      <c r="F31" s="240"/>
      <c r="G31" s="240"/>
      <c r="H31" s="213">
        <v>42312</v>
      </c>
      <c r="I31" s="212"/>
    </row>
    <row r="32" spans="1:9" ht="27.95" customHeight="1" x14ac:dyDescent="0.2">
      <c r="A32" s="62"/>
      <c r="B32" s="209" t="s">
        <v>26</v>
      </c>
      <c r="C32" s="239" t="str">
        <f>HLOOKUP(Language!$C$3,Language!$E$1:$Z565,46,FALSE)</f>
        <v>Added warnings on WMU selection in configurator, changed branding to GE, removed firmware 11 and 12</v>
      </c>
      <c r="D32" s="240"/>
      <c r="E32" s="240"/>
      <c r="F32" s="240"/>
      <c r="G32" s="240"/>
      <c r="H32" s="213">
        <f>'Date Drivers'!E2</f>
        <v>42494</v>
      </c>
      <c r="I32" s="68"/>
    </row>
    <row r="33" spans="1:9" s="210" customFormat="1" ht="27.95" customHeight="1" x14ac:dyDescent="0.2">
      <c r="A33" s="73"/>
      <c r="B33" s="209" t="s">
        <v>137</v>
      </c>
      <c r="C33" s="239" t="str">
        <f>HLOOKUP(Language!$C$3,Language!$E$1:$Z566,50,FALSE)</f>
        <v>Added Firmware 14</v>
      </c>
      <c r="D33" s="240"/>
      <c r="E33" s="240"/>
      <c r="F33" s="240"/>
      <c r="G33" s="240"/>
      <c r="H33" s="213">
        <f>'Date Drivers'!F2</f>
        <v>43195</v>
      </c>
      <c r="I33" s="212"/>
    </row>
    <row r="34" spans="1:9" s="210" customFormat="1" ht="27.95" customHeight="1" x14ac:dyDescent="0.2">
      <c r="A34" s="73"/>
      <c r="B34" s="209" t="s">
        <v>141</v>
      </c>
      <c r="C34" s="239" t="str">
        <f>HLOOKUP(Language!$C$3,Language!$E$1:$Z567,45,FALSE)</f>
        <v>Corrected invalid field in WMU configuration</v>
      </c>
      <c r="D34" s="240"/>
      <c r="E34" s="240"/>
      <c r="F34" s="240"/>
      <c r="G34" s="240"/>
      <c r="H34" s="213">
        <v>43578</v>
      </c>
      <c r="I34" s="212"/>
    </row>
    <row r="35" spans="1:9" s="210" customFormat="1" ht="27.95" customHeight="1" x14ac:dyDescent="0.2">
      <c r="A35" s="73"/>
      <c r="B35" s="209" t="s">
        <v>148</v>
      </c>
      <c r="C35" s="239" t="str">
        <f>HLOOKUP(Language!$C$3,Language!$E$1:$Z567,52,FALSE)</f>
        <v>Obsolete third hardware version (C) and added fourth hardware version (D)</v>
      </c>
      <c r="D35" s="240"/>
      <c r="E35" s="240"/>
      <c r="F35" s="240"/>
      <c r="G35" s="240"/>
      <c r="H35" s="213">
        <v>43601</v>
      </c>
      <c r="I35" s="212"/>
    </row>
    <row r="36" spans="1:9" s="210" customFormat="1" ht="27.95" customHeight="1" x14ac:dyDescent="0.2">
      <c r="A36" s="73"/>
      <c r="B36" s="209" t="s">
        <v>155</v>
      </c>
      <c r="C36" s="239" t="str">
        <f>HLOOKUP(Language!$C$3,Language!$E$1:$Z568,54,FALSE)</f>
        <v>Obsolete firmware version 13</v>
      </c>
      <c r="D36" s="240"/>
      <c r="E36" s="240"/>
      <c r="F36" s="240"/>
      <c r="G36" s="240"/>
      <c r="H36" s="213">
        <f>'Date Drivers'!$H$2</f>
        <v>43644</v>
      </c>
      <c r="I36" s="212"/>
    </row>
    <row r="37" spans="1:9" s="210" customFormat="1" ht="39.950000000000003" customHeight="1" x14ac:dyDescent="0.2">
      <c r="A37" s="73"/>
      <c r="B37" s="209" t="s">
        <v>160</v>
      </c>
      <c r="C37" s="239" t="str">
        <f>HLOOKUP(Language!$C$3,Language!$E$1:$Z569,55,FALSE)</f>
        <v>Withdraw Low Voltage Power Supply by CID006764 - 12/15/2021, plese refer to End-of-manufacturing notice GER-4900</v>
      </c>
      <c r="D37" s="240"/>
      <c r="E37" s="240"/>
      <c r="F37" s="240"/>
      <c r="G37" s="240"/>
      <c r="H37" s="213">
        <f>'Date Drivers'!I2</f>
        <v>44224</v>
      </c>
      <c r="I37" s="212"/>
    </row>
    <row r="38" spans="1:9" ht="15" thickBot="1" x14ac:dyDescent="0.25">
      <c r="A38" s="66"/>
      <c r="B38" s="66"/>
      <c r="C38" s="66"/>
      <c r="D38" s="66"/>
      <c r="E38" s="66"/>
      <c r="F38" s="66"/>
      <c r="G38" s="66"/>
      <c r="H38" s="66"/>
      <c r="I38" s="67"/>
    </row>
  </sheetData>
  <sheetProtection algorithmName="SHA-512" hashValue="7Xshsy97nlcorQXupWJ+GspsDoyymI/6Asw5n27FQYYPrDs08+NyP5RYYpigT/3v6CsINCsBZ6LUK3WQe9XHVw==" saltValue="TJRm2+N9tixEELQ3Vqmf2g==" spinCount="100000" sheet="1" objects="1" scenarios="1"/>
  <mergeCells count="10">
    <mergeCell ref="C37:G37"/>
    <mergeCell ref="C28:G28"/>
    <mergeCell ref="C29:G29"/>
    <mergeCell ref="C31:G31"/>
    <mergeCell ref="C30:G30"/>
    <mergeCell ref="C36:G36"/>
    <mergeCell ref="C35:G35"/>
    <mergeCell ref="C34:G34"/>
    <mergeCell ref="C33:G33"/>
    <mergeCell ref="C32:G32"/>
  </mergeCells>
  <phoneticPr fontId="1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65"/>
  <sheetViews>
    <sheetView workbookViewId="0">
      <selection activeCell="C5" sqref="C5"/>
    </sheetView>
  </sheetViews>
  <sheetFormatPr defaultRowHeight="12" x14ac:dyDescent="0.2"/>
  <cols>
    <col min="1" max="1" width="30" style="3" bestFit="1" customWidth="1"/>
    <col min="2" max="2" width="3" style="14" bestFit="1" customWidth="1"/>
    <col min="3" max="3" width="63.140625" style="3" bestFit="1" customWidth="1"/>
    <col min="4" max="4" width="3" style="14" bestFit="1" customWidth="1"/>
    <col min="5" max="5" width="9.140625" style="3"/>
    <col min="6" max="6" width="3.28515625" style="14" customWidth="1"/>
    <col min="7" max="16384" width="9.140625" style="3"/>
  </cols>
  <sheetData>
    <row r="1" spans="1:9" x14ac:dyDescent="0.2">
      <c r="A1" s="36" t="s">
        <v>8</v>
      </c>
      <c r="B1" s="100"/>
      <c r="C1" s="37">
        <v>44224</v>
      </c>
    </row>
    <row r="2" spans="1:9" x14ac:dyDescent="0.2">
      <c r="A2" s="70" t="str">
        <f>HLOOKUP('Date Drivers'!$B$1,'Date Drivers'!$A$2:$Z$171,2,FALSE)</f>
        <v>RPV311 Multifunction Recorder</v>
      </c>
      <c r="B2" s="101"/>
      <c r="C2" s="36" t="str">
        <f>"RPV311"&amp;D3&amp;D10&amp;D17&amp;D26&amp;D35&amp;D45&amp;D53&amp;D60</f>
        <v>RPV3113E000C14D</v>
      </c>
      <c r="H2" s="173"/>
      <c r="I2" s="173"/>
    </row>
    <row r="3" spans="1:9" x14ac:dyDescent="0.2">
      <c r="A3" s="25" t="str">
        <f>'Date Drivers'!$A$6</f>
        <v>Power Supply</v>
      </c>
      <c r="B3" s="102">
        <v>1</v>
      </c>
      <c r="C3" s="31" t="str">
        <f>VLOOKUP($B$3,$B$4:$D$8,2,FALSE)</f>
        <v>100-250 Vdc / 110-240 Vac</v>
      </c>
      <c r="D3" s="176">
        <f>VLOOKUP($B$3,$B$4:$D$8,3,FALSE)</f>
        <v>3</v>
      </c>
      <c r="H3" s="174"/>
      <c r="I3" s="174"/>
    </row>
    <row r="4" spans="1:9" x14ac:dyDescent="0.2">
      <c r="B4" s="16">
        <v>1</v>
      </c>
      <c r="C4" s="28" t="str">
        <f>HLOOKUP('Date Drivers'!$B$1,'Date Drivers'!$A$2:$Z$171,6,FALSE)</f>
        <v>100-250 Vdc / 110-240 Vac</v>
      </c>
      <c r="D4" s="19">
        <f>HLOOKUP('Date Drivers'!$B$1,'Date Drivers'!$A$2:$Z$171,11,FALSE)</f>
        <v>3</v>
      </c>
      <c r="H4" s="175"/>
      <c r="I4" s="175"/>
    </row>
    <row r="5" spans="1:9" x14ac:dyDescent="0.2">
      <c r="B5" s="17">
        <v>2</v>
      </c>
      <c r="C5" s="28"/>
      <c r="D5" s="19"/>
      <c r="H5" s="175"/>
      <c r="I5" s="175"/>
    </row>
    <row r="6" spans="1:9" x14ac:dyDescent="0.2">
      <c r="B6" s="17">
        <v>3</v>
      </c>
      <c r="C6" s="28"/>
      <c r="D6" s="19"/>
      <c r="H6" s="175"/>
      <c r="I6" s="175"/>
    </row>
    <row r="7" spans="1:9" x14ac:dyDescent="0.2">
      <c r="B7" s="17">
        <v>4</v>
      </c>
      <c r="C7" s="28"/>
      <c r="D7" s="19"/>
      <c r="H7" s="175"/>
      <c r="I7" s="175"/>
    </row>
    <row r="8" spans="1:9" x14ac:dyDescent="0.2">
      <c r="B8" s="26">
        <v>5</v>
      </c>
      <c r="C8" s="29"/>
      <c r="D8" s="32"/>
      <c r="H8" s="175"/>
      <c r="I8" s="175"/>
    </row>
    <row r="9" spans="1:9" x14ac:dyDescent="0.2">
      <c r="H9" s="175"/>
      <c r="I9" s="175"/>
    </row>
    <row r="10" spans="1:9" x14ac:dyDescent="0.2">
      <c r="A10" s="25" t="str">
        <f>'Date Drivers'!$A$16</f>
        <v>Network Interface</v>
      </c>
      <c r="B10" s="102">
        <v>1</v>
      </c>
      <c r="C10" s="31" t="str">
        <f>VLOOKUP($B$10,$B$11:$D$15,2,FALSE)</f>
        <v>Two RJ45 copper 100BASE-TX Ethernet interfaces</v>
      </c>
      <c r="D10" s="176" t="str">
        <f>VLOOKUP($B$10,$B$11:$D$15,3,FALSE)</f>
        <v>E</v>
      </c>
      <c r="H10" s="175"/>
      <c r="I10" s="175"/>
    </row>
    <row r="11" spans="1:9" x14ac:dyDescent="0.2">
      <c r="B11" s="16">
        <v>1</v>
      </c>
      <c r="C11" s="27" t="str">
        <f>HLOOKUP('Date Drivers'!$B$1,'Date Drivers'!$A$2:$Z$171,15,FALSE)</f>
        <v>Two RJ45 copper 100BASE-TX Ethernet interfaces</v>
      </c>
      <c r="D11" s="16" t="str">
        <f>HLOOKUP('Date Drivers'!$B$1,'Date Drivers'!$A$2:$Z$171,19,FALSE)</f>
        <v>E</v>
      </c>
      <c r="H11" s="175"/>
      <c r="I11" s="175"/>
    </row>
    <row r="12" spans="1:9" x14ac:dyDescent="0.2">
      <c r="B12" s="17">
        <v>2</v>
      </c>
      <c r="C12" s="28" t="str">
        <f>HLOOKUP('Date Drivers'!$B$1,'Date Drivers'!$A$2:$Z$171,16,FALSE)</f>
        <v>Two RJ45 copper or duplex ST-type connector 100BASE-X Ethernet interfaces</v>
      </c>
      <c r="D12" s="17" t="str">
        <f>HLOOKUP('Date Drivers'!$B$1,'Date Drivers'!$A$2:$Z$171,20,FALSE)</f>
        <v>O</v>
      </c>
      <c r="H12" s="175"/>
      <c r="I12" s="175"/>
    </row>
    <row r="13" spans="1:9" x14ac:dyDescent="0.2">
      <c r="B13" s="17">
        <v>3</v>
      </c>
      <c r="C13" s="28"/>
      <c r="D13" s="19"/>
      <c r="H13" s="175"/>
      <c r="I13" s="175"/>
    </row>
    <row r="14" spans="1:9" x14ac:dyDescent="0.2">
      <c r="B14" s="17">
        <v>4</v>
      </c>
      <c r="C14" s="28"/>
      <c r="D14" s="19"/>
      <c r="H14" s="175"/>
      <c r="I14" s="175"/>
    </row>
    <row r="15" spans="1:9" x14ac:dyDescent="0.2">
      <c r="B15" s="26">
        <v>5</v>
      </c>
      <c r="C15" s="29" t="str">
        <f>"  "&amp;HLOOKUP('Date Drivers'!$B$1,'Date Drivers'!$A$2:$Z$171,9,FALSE)</f>
        <v xml:space="preserve">  </v>
      </c>
      <c r="D15" s="32"/>
      <c r="H15" s="175"/>
      <c r="I15" s="175"/>
    </row>
    <row r="16" spans="1:9" x14ac:dyDescent="0.2">
      <c r="H16" s="175"/>
      <c r="I16" s="175"/>
    </row>
    <row r="17" spans="1:8" x14ac:dyDescent="0.2">
      <c r="A17" s="135" t="str">
        <f>'Date Drivers'!$A$24</f>
        <v>Functions and Protocols</v>
      </c>
      <c r="B17" s="178">
        <v>0</v>
      </c>
      <c r="C17" s="179" t="s">
        <v>41</v>
      </c>
      <c r="D17" s="177" t="str">
        <f>DEC2HEX(F24,1)</f>
        <v>0</v>
      </c>
      <c r="H17" s="3" t="s">
        <v>122</v>
      </c>
    </row>
    <row r="18" spans="1:8" x14ac:dyDescent="0.2">
      <c r="A18" s="136"/>
      <c r="B18" s="17">
        <v>1</v>
      </c>
      <c r="C18" s="35" t="str">
        <f>HLOOKUP('Date Drivers'!$B$1,'Date Drivers'!$A$2:$Z$171,23,FALSE)</f>
        <v>IEC 61850-9-2LE Inputs</v>
      </c>
      <c r="D18" s="16">
        <v>1</v>
      </c>
      <c r="E18" s="3" t="b">
        <v>0</v>
      </c>
      <c r="F18" s="171">
        <f>IF(E18,D18,0)</f>
        <v>0</v>
      </c>
      <c r="H18" s="180" t="str">
        <f>VLOOKUP($F$18,$B$17:$C$20,2,FALSE)</f>
        <v>---</v>
      </c>
    </row>
    <row r="19" spans="1:8" x14ac:dyDescent="0.2">
      <c r="B19" s="17">
        <v>2</v>
      </c>
      <c r="C19" s="35" t="str">
        <f>HLOOKUP('Date Drivers'!$B$1,'Date Drivers'!$A$2:$Z$171,24,FALSE)</f>
        <v>Travelling Wave Fault Location</v>
      </c>
      <c r="D19" s="17">
        <v>2</v>
      </c>
      <c r="E19" s="3" t="b">
        <v>0</v>
      </c>
      <c r="F19" s="171">
        <f>IF(E19,D19,0)</f>
        <v>0</v>
      </c>
      <c r="H19" s="180" t="str">
        <f>VLOOKUP($F$19,$B$17:$C$20,2,FALSE)</f>
        <v>---</v>
      </c>
    </row>
    <row r="20" spans="1:8" x14ac:dyDescent="0.2">
      <c r="B20" s="17">
        <v>4</v>
      </c>
      <c r="C20" s="35" t="str">
        <f>HLOOKUP('Date Drivers'!$B$1,'Date Drivers'!$A$2:$Z$171,25,FALSE)</f>
        <v>Waveform Measurement Unit (WMU)</v>
      </c>
      <c r="D20" s="17">
        <v>4</v>
      </c>
      <c r="E20" s="3" t="b">
        <v>0</v>
      </c>
      <c r="F20" s="171">
        <f>IF((E20*(E27)),D20,0)</f>
        <v>0</v>
      </c>
      <c r="H20" s="180" t="str">
        <f>VLOOKUP($F$20,$B$17:$C$20,2,FALSE)</f>
        <v>---</v>
      </c>
    </row>
    <row r="21" spans="1:8" x14ac:dyDescent="0.2">
      <c r="B21" s="17"/>
      <c r="C21" s="35"/>
      <c r="D21" s="17"/>
    </row>
    <row r="22" spans="1:8" x14ac:dyDescent="0.2">
      <c r="B22" s="17"/>
      <c r="C22" s="35"/>
      <c r="D22" s="17"/>
    </row>
    <row r="23" spans="1:8" x14ac:dyDescent="0.2">
      <c r="B23" s="17"/>
      <c r="C23" s="35"/>
      <c r="D23" s="17"/>
    </row>
    <row r="24" spans="1:8" x14ac:dyDescent="0.2">
      <c r="B24" s="26"/>
      <c r="C24" s="104"/>
      <c r="D24" s="26"/>
      <c r="E24" s="163" t="s">
        <v>40</v>
      </c>
      <c r="F24" s="172">
        <f>SUM(F18:F20)</f>
        <v>0</v>
      </c>
    </row>
    <row r="26" spans="1:8" x14ac:dyDescent="0.2">
      <c r="A26" s="137"/>
      <c r="B26" s="178">
        <v>0</v>
      </c>
      <c r="C26" s="179" t="s">
        <v>41</v>
      </c>
      <c r="D26" s="176" t="str">
        <f>DEC2HEX(F33,1)</f>
        <v>0</v>
      </c>
    </row>
    <row r="27" spans="1:8" x14ac:dyDescent="0.2">
      <c r="B27" s="23">
        <v>1</v>
      </c>
      <c r="C27" s="28" t="str">
        <f>HLOOKUP('Date Drivers'!$B$1,'Date Drivers'!$A$2:$Z$171,29,FALSE)</f>
        <v>Phasor Measurement Unit (PMU)</v>
      </c>
      <c r="D27" s="19">
        <v>1</v>
      </c>
      <c r="E27" s="3" t="b">
        <v>0</v>
      </c>
      <c r="F27" s="170">
        <f>IF(E27,D27,0)</f>
        <v>0</v>
      </c>
      <c r="H27" s="180" t="str">
        <f>VLOOKUP(F27,$B$26:$C$30,2,FALSE)</f>
        <v>---</v>
      </c>
    </row>
    <row r="28" spans="1:8" x14ac:dyDescent="0.2">
      <c r="B28" s="23">
        <v>2</v>
      </c>
      <c r="C28" s="28" t="str">
        <f>HLOOKUP('Date Drivers'!$B$1,'Date Drivers'!$A$2:$Z$171,30,FALSE)</f>
        <v>GOOSE Message Subscription</v>
      </c>
      <c r="D28" s="19">
        <v>2</v>
      </c>
      <c r="E28" s="3" t="b">
        <v>0</v>
      </c>
      <c r="F28" s="170">
        <f>IF(E28,D28,0)</f>
        <v>0</v>
      </c>
      <c r="H28" s="180" t="str">
        <f>VLOOKUP(F28,$B$26:$C$30,2,FALSE)</f>
        <v>---</v>
      </c>
    </row>
    <row r="29" spans="1:8" x14ac:dyDescent="0.2">
      <c r="B29" s="23">
        <v>4</v>
      </c>
      <c r="C29" s="28" t="str">
        <f>HLOOKUP('Date Drivers'!$B$1,'Date Drivers'!$A$2:$Z$171,31,FALSE)</f>
        <v>MODBUS/DNP3.0 Interface</v>
      </c>
      <c r="D29" s="19">
        <v>4</v>
      </c>
      <c r="E29" s="3" t="b">
        <v>0</v>
      </c>
      <c r="F29" s="170">
        <f>IF(E29,D29,0)</f>
        <v>0</v>
      </c>
      <c r="H29" s="180" t="str">
        <f>VLOOKUP(F29,$B$26:$C$30,2,FALSE)</f>
        <v>---</v>
      </c>
    </row>
    <row r="30" spans="1:8" x14ac:dyDescent="0.2">
      <c r="B30" s="23">
        <v>8</v>
      </c>
      <c r="C30" s="28" t="str">
        <f>HLOOKUP('Date Drivers'!$B$1,'Date Drivers'!$A$2:$Z$171,32,FALSE)</f>
        <v>Power Quality</v>
      </c>
      <c r="D30" s="19">
        <v>8</v>
      </c>
      <c r="E30" s="3" t="b">
        <v>0</v>
      </c>
      <c r="F30" s="170">
        <f>IF(E30,D30,0)</f>
        <v>0</v>
      </c>
      <c r="H30" s="180" t="str">
        <f>VLOOKUP(F30,$B$26:$C$30,2,FALSE)</f>
        <v>---</v>
      </c>
    </row>
    <row r="31" spans="1:8" x14ac:dyDescent="0.2">
      <c r="B31" s="23"/>
      <c r="C31" s="28"/>
      <c r="D31" s="19"/>
    </row>
    <row r="32" spans="1:8" x14ac:dyDescent="0.2">
      <c r="B32" s="23"/>
      <c r="C32" s="28"/>
      <c r="D32" s="19"/>
    </row>
    <row r="33" spans="1:8" x14ac:dyDescent="0.2">
      <c r="B33" s="24"/>
      <c r="C33" s="29"/>
      <c r="D33" s="32"/>
      <c r="E33" s="163" t="s">
        <v>40</v>
      </c>
      <c r="F33" s="172">
        <f>SUM(F27:F30)</f>
        <v>0</v>
      </c>
    </row>
    <row r="35" spans="1:8" x14ac:dyDescent="0.2">
      <c r="A35" s="137"/>
      <c r="B35" s="178">
        <v>0</v>
      </c>
      <c r="C35" s="179" t="s">
        <v>41</v>
      </c>
      <c r="D35" s="176" t="str">
        <f>DEC2HEX(F42,1)</f>
        <v>0</v>
      </c>
    </row>
    <row r="36" spans="1:8" x14ac:dyDescent="0.2">
      <c r="B36" s="23">
        <v>1</v>
      </c>
      <c r="C36" s="28" t="str">
        <f>HLOOKUP('Date Drivers'!$B$1,'Date Drivers'!$A$2:$Z$171,39,FALSE)</f>
        <v>Fault Recorder</v>
      </c>
      <c r="D36" s="19">
        <v>1</v>
      </c>
      <c r="E36" s="3" t="b">
        <v>0</v>
      </c>
      <c r="F36" s="170">
        <f>IF(E36,D36,0)</f>
        <v>0</v>
      </c>
      <c r="H36" s="180" t="str">
        <f>VLOOKUP(F36,$B$35:$C$39,2,FALSE)</f>
        <v>---</v>
      </c>
    </row>
    <row r="37" spans="1:8" x14ac:dyDescent="0.2">
      <c r="B37" s="23">
        <v>2</v>
      </c>
      <c r="C37" s="28" t="str">
        <f>HLOOKUP('Date Drivers'!$B$1,'Date Drivers'!$A$2:$Z$171,40,FALSE)</f>
        <v>Sequence of Events Recorder</v>
      </c>
      <c r="D37" s="19">
        <v>2</v>
      </c>
      <c r="E37" s="3" t="b">
        <v>0</v>
      </c>
      <c r="F37" s="170">
        <f>IF(E37,D37,0)</f>
        <v>0</v>
      </c>
      <c r="H37" s="180" t="str">
        <f>VLOOKUP(F37,$B$35:$C$39,2,FALSE)</f>
        <v>---</v>
      </c>
    </row>
    <row r="38" spans="1:8" x14ac:dyDescent="0.2">
      <c r="B38" s="23">
        <v>4</v>
      </c>
      <c r="C38" s="28" t="str">
        <f>HLOOKUP('Date Drivers'!$B$1,'Date Drivers'!$A$2:$Z$171,41,FALSE)</f>
        <v>Disturbance Recorder</v>
      </c>
      <c r="D38" s="19">
        <v>4</v>
      </c>
      <c r="E38" s="3" t="b">
        <v>0</v>
      </c>
      <c r="F38" s="170">
        <f>IF(E38,D38,0)</f>
        <v>0</v>
      </c>
      <c r="H38" s="180" t="str">
        <f>VLOOKUP(F38,$B$35:$C$39,2,FALSE)</f>
        <v>---</v>
      </c>
    </row>
    <row r="39" spans="1:8" x14ac:dyDescent="0.2">
      <c r="B39" s="23">
        <v>8</v>
      </c>
      <c r="C39" s="28" t="str">
        <f>HLOOKUP('Date Drivers'!$B$1,'Date Drivers'!$A$2:$Z$171,42,FALSE)</f>
        <v>Continuous Fault and Disturbance Recorder</v>
      </c>
      <c r="D39" s="19">
        <v>8</v>
      </c>
      <c r="E39" s="3" t="b">
        <v>0</v>
      </c>
      <c r="F39" s="170">
        <f>IF(E39,D39,0)</f>
        <v>0</v>
      </c>
      <c r="H39" s="180" t="str">
        <f>VLOOKUP(F39,$B$35:$C$39,2,FALSE)</f>
        <v>---</v>
      </c>
    </row>
    <row r="40" spans="1:8" x14ac:dyDescent="0.2">
      <c r="B40" s="23"/>
      <c r="C40" s="28"/>
      <c r="D40" s="19"/>
    </row>
    <row r="41" spans="1:8" x14ac:dyDescent="0.2">
      <c r="B41" s="23"/>
      <c r="C41" s="28"/>
      <c r="D41" s="19"/>
    </row>
    <row r="42" spans="1:8" x14ac:dyDescent="0.2">
      <c r="B42" s="24"/>
      <c r="C42" s="29"/>
      <c r="D42" s="32"/>
      <c r="E42" s="163" t="s">
        <v>40</v>
      </c>
      <c r="F42" s="172">
        <f>SUM(F36:F39)</f>
        <v>0</v>
      </c>
    </row>
    <row r="45" spans="1:8" x14ac:dyDescent="0.2">
      <c r="A45" s="135" t="str">
        <f>'Date Drivers'!$A$50</f>
        <v>Customization / Regionalisation</v>
      </c>
      <c r="B45" s="103">
        <v>1</v>
      </c>
      <c r="C45" s="33" t="str">
        <f>VLOOKUP($B$45,$B$46:$D$50,2,FALSE)</f>
        <v>GE branding</v>
      </c>
      <c r="D45" s="176" t="str">
        <f>VLOOKUP($B$45,$B$46:$D$50,3,FALSE)</f>
        <v>C</v>
      </c>
    </row>
    <row r="46" spans="1:8" x14ac:dyDescent="0.2">
      <c r="A46" s="136"/>
      <c r="B46" s="22">
        <v>1</v>
      </c>
      <c r="C46" s="27" t="str">
        <f>HLOOKUP('Date Drivers'!$B$1,'Date Drivers'!$A$2:$Z$171,49,FALSE)</f>
        <v>GE branding</v>
      </c>
      <c r="D46" s="19" t="str">
        <f>'Date Drivers'!E56</f>
        <v>C</v>
      </c>
    </row>
    <row r="47" spans="1:8" x14ac:dyDescent="0.2">
      <c r="B47" s="23">
        <v>2</v>
      </c>
      <c r="C47" s="28">
        <f>HLOOKUP('Date Drivers'!$B$1,'Date Drivers'!$A$2:$Z$171,50,FALSE)</f>
        <v>0</v>
      </c>
      <c r="D47" s="19">
        <f>'Date Drivers'!E57</f>
        <v>0</v>
      </c>
    </row>
    <row r="48" spans="1:8" x14ac:dyDescent="0.2">
      <c r="B48" s="23">
        <v>3</v>
      </c>
      <c r="C48" s="28">
        <f>HLOOKUP('Date Drivers'!$B$1,'Date Drivers'!$A$2:$Z$171,51,FALSE)</f>
        <v>0</v>
      </c>
      <c r="D48" s="19">
        <f>'Date Drivers'!E58</f>
        <v>0</v>
      </c>
    </row>
    <row r="49" spans="1:4" x14ac:dyDescent="0.2">
      <c r="B49" s="23">
        <v>4</v>
      </c>
      <c r="C49" s="28"/>
      <c r="D49" s="19"/>
    </row>
    <row r="50" spans="1:4" x14ac:dyDescent="0.2">
      <c r="B50" s="24">
        <v>5</v>
      </c>
      <c r="C50" s="29"/>
      <c r="D50" s="32"/>
    </row>
    <row r="53" spans="1:4" x14ac:dyDescent="0.2">
      <c r="A53" s="135" t="str">
        <f>'Date Drivers'!$A$61</f>
        <v>Firmware Version</v>
      </c>
      <c r="B53" s="103">
        <v>1</v>
      </c>
      <c r="C53" s="33" t="str">
        <f>VLOOKUP($B$53,$B$54:$D$58,2,FALSE)</f>
        <v>Firmware 14</v>
      </c>
      <c r="D53" s="176">
        <f>VLOOKUP($B$53,$B$54:$D$58,3,FALSE)</f>
        <v>14</v>
      </c>
    </row>
    <row r="54" spans="1:4" x14ac:dyDescent="0.2">
      <c r="A54" s="136"/>
      <c r="B54" s="16">
        <v>1</v>
      </c>
      <c r="C54" s="34" t="str">
        <f>HLOOKUP('Date Drivers'!$B$1,'Date Drivers'!$A$2:$Z$171,60,FALSE)</f>
        <v>Firmware 14</v>
      </c>
      <c r="D54" s="17">
        <f>HLOOKUP('Date Drivers'!$B$1,'Date Drivers'!$A$2:$Z$171,67,FALSE)</f>
        <v>14</v>
      </c>
    </row>
    <row r="55" spans="1:4" x14ac:dyDescent="0.2">
      <c r="B55" s="17">
        <v>2</v>
      </c>
      <c r="C55" s="35">
        <f>HLOOKUP('Date Drivers'!$B$1,'Date Drivers'!$A$2:$Z$171,62,FALSE)</f>
        <v>0</v>
      </c>
      <c r="D55" s="17">
        <f>HLOOKUP('Date Drivers'!$B$1,'Date Drivers'!$A$2:$Z$171,69,FALSE)</f>
        <v>0</v>
      </c>
    </row>
    <row r="56" spans="1:4" x14ac:dyDescent="0.2">
      <c r="B56" s="17">
        <v>3</v>
      </c>
      <c r="C56" s="35"/>
      <c r="D56" s="17"/>
    </row>
    <row r="57" spans="1:4" x14ac:dyDescent="0.2">
      <c r="B57" s="17">
        <v>4</v>
      </c>
      <c r="C57" s="35"/>
      <c r="D57" s="17"/>
    </row>
    <row r="58" spans="1:4" x14ac:dyDescent="0.2">
      <c r="B58" s="26">
        <v>5</v>
      </c>
      <c r="C58" s="104"/>
      <c r="D58" s="26"/>
    </row>
    <row r="60" spans="1:4" x14ac:dyDescent="0.2">
      <c r="A60" s="135" t="str">
        <f>'Date Drivers'!A75</f>
        <v>Hardware Design Suffix</v>
      </c>
      <c r="B60" s="103">
        <v>1</v>
      </c>
      <c r="C60" s="33" t="str">
        <f>VLOOKUP($B$60,$B$61:$D$65,2,FALSE)</f>
        <v>Fourth version</v>
      </c>
      <c r="D60" s="176" t="str">
        <f>VLOOKUP($B$60,$B$61:$D$65,3,FALSE)</f>
        <v>D</v>
      </c>
    </row>
    <row r="61" spans="1:4" x14ac:dyDescent="0.2">
      <c r="A61" s="136"/>
      <c r="B61" s="16">
        <v>1</v>
      </c>
      <c r="C61" s="34" t="str">
        <f>HLOOKUP('Date Drivers'!$B$1,'Date Drivers'!$A$2:$Z$171,75,FALSE)</f>
        <v>Fourth version</v>
      </c>
      <c r="D61" s="17" t="str">
        <f>HLOOKUP('Date Drivers'!$B$1,'Date Drivers'!$A$2:$Z$171,81,FALSE)</f>
        <v>D</v>
      </c>
    </row>
    <row r="62" spans="1:4" x14ac:dyDescent="0.2">
      <c r="B62" s="17">
        <v>2</v>
      </c>
      <c r="C62" s="35"/>
      <c r="D62" s="17"/>
    </row>
    <row r="63" spans="1:4" x14ac:dyDescent="0.2">
      <c r="B63" s="17">
        <v>3</v>
      </c>
      <c r="C63" s="35"/>
      <c r="D63" s="17"/>
    </row>
    <row r="64" spans="1:4" x14ac:dyDescent="0.2">
      <c r="B64" s="17">
        <v>4</v>
      </c>
      <c r="C64" s="35"/>
      <c r="D64" s="17"/>
    </row>
    <row r="65" spans="2:4" x14ac:dyDescent="0.2">
      <c r="B65" s="26">
        <v>5</v>
      </c>
      <c r="C65" s="104"/>
      <c r="D65" s="26"/>
    </row>
  </sheetData>
  <phoneticPr fontId="19" type="noConversion"/>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I153"/>
  <sheetViews>
    <sheetView zoomScaleNormal="100" workbookViewId="0">
      <pane xSplit="1" ySplit="1" topLeftCell="G2" activePane="bottomRight" state="frozen"/>
      <selection pane="topRight" activeCell="B1" sqref="B1"/>
      <selection pane="bottomLeft" activeCell="A2" sqref="A2"/>
      <selection pane="bottomRight" activeCell="H62" sqref="H62"/>
    </sheetView>
  </sheetViews>
  <sheetFormatPr defaultRowHeight="12" x14ac:dyDescent="0.2"/>
  <cols>
    <col min="1" max="1" width="39.85546875" style="3" bestFit="1" customWidth="1"/>
    <col min="2" max="9" width="72.5703125" style="21" bestFit="1" customWidth="1"/>
    <col min="10" max="16384" width="9.140625" style="3"/>
  </cols>
  <sheetData>
    <row r="1" spans="1:9" x14ac:dyDescent="0.2">
      <c r="A1" s="3" t="s">
        <v>6</v>
      </c>
      <c r="B1" s="4">
        <f>Database!$C$1</f>
        <v>44224</v>
      </c>
      <c r="C1" s="4">
        <f>Database!$C$1</f>
        <v>44224</v>
      </c>
      <c r="D1" s="4">
        <f>Database!$C$1</f>
        <v>44224</v>
      </c>
      <c r="E1" s="4">
        <f>Database!$C$1</f>
        <v>44224</v>
      </c>
      <c r="F1" s="4">
        <f>Database!$C$1</f>
        <v>44224</v>
      </c>
      <c r="G1" s="4">
        <f>Database!$C$1</f>
        <v>44224</v>
      </c>
      <c r="H1" s="4">
        <f>Database!$C$1</f>
        <v>44224</v>
      </c>
      <c r="I1" s="4">
        <f>Database!$C$1</f>
        <v>44224</v>
      </c>
    </row>
    <row r="2" spans="1:9" x14ac:dyDescent="0.2">
      <c r="B2" s="5">
        <v>41654</v>
      </c>
      <c r="C2" s="5">
        <v>41992</v>
      </c>
      <c r="D2" s="5">
        <v>42292</v>
      </c>
      <c r="E2" s="5">
        <v>42494</v>
      </c>
      <c r="F2" s="5">
        <v>43195</v>
      </c>
      <c r="G2" s="5">
        <v>43601</v>
      </c>
      <c r="H2" s="5">
        <v>43644</v>
      </c>
      <c r="I2" s="5">
        <v>44224</v>
      </c>
    </row>
    <row r="3" spans="1:9" x14ac:dyDescent="0.2">
      <c r="A3" s="6" t="str">
        <f>HLOOKUP(Language!$C$3,Language!$E$1:$Z500,2,FALSE)</f>
        <v>Model Type</v>
      </c>
      <c r="B3" s="7" t="str">
        <f>CONCATENATE(B4," ",HLOOKUP(Language!$C$3,Language!$E$1:$Z500,3,FALSE))</f>
        <v>RPV311 Multifunction Recorder</v>
      </c>
      <c r="C3" s="7" t="str">
        <f>CONCATENATE(C4," ",HLOOKUP(Language!$C$3,Language!$E$1:$Z500,3,FALSE))</f>
        <v>RPV311 Multifunction Recorder</v>
      </c>
      <c r="D3" s="7" t="str">
        <f>CONCATENATE(D4," ",HLOOKUP(Language!$C$3,Language!$E$1:$Z500,3,FALSE))</f>
        <v>RPV311 Multifunction Recorder</v>
      </c>
      <c r="E3" s="7" t="str">
        <f>CONCATENATE(E4," ",HLOOKUP(Language!$C$3,Language!$E$1:$Z500,3,FALSE))</f>
        <v>RPV311 Multifunction Recorder</v>
      </c>
      <c r="F3" s="7" t="str">
        <f>CONCATENATE(F4," ",HLOOKUP(Language!$C$3,Language!$E$1:$Z500,3,FALSE))</f>
        <v>RPV311 Multifunction Recorder</v>
      </c>
      <c r="G3" s="7" t="str">
        <f>CONCATENATE(G4," ",HLOOKUP(Language!$C$3,Language!$E$1:$Z500,3,FALSE))</f>
        <v>RPV311 Multifunction Recorder</v>
      </c>
      <c r="H3" s="7" t="str">
        <f>CONCATENATE(H4," ",HLOOKUP(Language!$C$3,Language!$E$1:$Z500,3,FALSE))</f>
        <v>RPV311 Multifunction Recorder</v>
      </c>
      <c r="I3" s="7" t="str">
        <f>CONCATENATE(I4," ",HLOOKUP(Language!$C$3,Language!$E$1:$Z500,3,FALSE))</f>
        <v>RPV311 Multifunction Recorder</v>
      </c>
    </row>
    <row r="4" spans="1:9" x14ac:dyDescent="0.2">
      <c r="B4" s="8" t="str">
        <f>HLOOKUP(Language!$C$3,Language!$E$1:$Z500,4,FALSE)</f>
        <v>RPV311</v>
      </c>
      <c r="C4" s="8" t="str">
        <f>HLOOKUP(Language!$C$3,Language!$E$1:$Z500,4,FALSE)</f>
        <v>RPV311</v>
      </c>
      <c r="D4" s="8" t="str">
        <f>HLOOKUP(Language!$C$3,Language!$E$1:$Z500,4,FALSE)</f>
        <v>RPV311</v>
      </c>
      <c r="E4" s="8" t="str">
        <f>HLOOKUP(Language!$C$3,Language!$E$1:$Z500,4,FALSE)</f>
        <v>RPV311</v>
      </c>
      <c r="F4" s="8" t="str">
        <f>HLOOKUP(Language!$C$3,Language!$E$1:$Z500,4,FALSE)</f>
        <v>RPV311</v>
      </c>
      <c r="G4" s="8" t="str">
        <f>HLOOKUP(Language!$C$3,Language!$E$1:$Z500,4,FALSE)</f>
        <v>RPV311</v>
      </c>
      <c r="H4" s="8" t="str">
        <f>HLOOKUP(Language!$C$3,Language!$E$1:$Z500,4,FALSE)</f>
        <v>RPV311</v>
      </c>
      <c r="I4" s="8" t="str">
        <f>HLOOKUP(Language!$C$3,Language!$E$1:$Z500,4,FALSE)</f>
        <v>RPV311</v>
      </c>
    </row>
    <row r="5" spans="1:9" x14ac:dyDescent="0.2">
      <c r="B5" s="9"/>
      <c r="C5" s="9"/>
      <c r="D5" s="9"/>
      <c r="E5" s="9"/>
      <c r="F5" s="9"/>
      <c r="G5" s="9"/>
      <c r="H5" s="9"/>
      <c r="I5" s="9"/>
    </row>
    <row r="6" spans="1:9" x14ac:dyDescent="0.2">
      <c r="A6" s="10" t="str">
        <f>HLOOKUP(Language!$C$3,Language!$E$1:$Z500,5,FALSE)</f>
        <v>Power Supply</v>
      </c>
      <c r="B6" s="11" t="str">
        <f>HLOOKUP(Language!$C$3,Language!$E$1:$Z502,6,FALSE)</f>
        <v>100-250 Vdc / 110-240 Vac</v>
      </c>
      <c r="C6" s="11" t="str">
        <f>HLOOKUP(Language!$C$3,Language!$E$1:$Z502,41,FALSE)</f>
        <v>24-48 Vdc (withdraw)</v>
      </c>
      <c r="D6" s="11" t="str">
        <f>HLOOKUP(Language!$C$3,Language!$E$1:$Z502,41,FALSE)</f>
        <v>24-48 Vdc (withdraw)</v>
      </c>
      <c r="E6" s="11" t="str">
        <f>HLOOKUP(Language!$C$3,Language!$E$1:$Z502,41,FALSE)</f>
        <v>24-48 Vdc (withdraw)</v>
      </c>
      <c r="F6" s="11" t="str">
        <f>HLOOKUP(Language!$C$3,Language!$E$1:$Z502,41,FALSE)</f>
        <v>24-48 Vdc (withdraw)</v>
      </c>
      <c r="G6" s="11" t="str">
        <f>HLOOKUP(Language!$C$3,Language!$E$1:$Z502,41,FALSE)</f>
        <v>24-48 Vdc (withdraw)</v>
      </c>
      <c r="H6" s="11" t="str">
        <f>HLOOKUP(Language!$C$3,Language!$E$1:$Z502,41,FALSE)</f>
        <v>24-48 Vdc (withdraw)</v>
      </c>
      <c r="I6" s="11" t="str">
        <f>HLOOKUP(Language!$C$3,Language!$E$1:$Z502,41,FALSE)</f>
        <v>24-48 Vdc (withdraw)</v>
      </c>
    </row>
    <row r="7" spans="1:9" x14ac:dyDescent="0.2">
      <c r="B7" s="12"/>
      <c r="C7" s="12" t="str">
        <f>HLOOKUP(Language!$C$3,Language!$E$1:$Z503,6,FALSE)</f>
        <v>100-250 Vdc / 110-240 Vac</v>
      </c>
      <c r="D7" s="12" t="str">
        <f>HLOOKUP(Language!$C$3,Language!$E$1:$Z503,6,FALSE)</f>
        <v>100-250 Vdc / 110-240 Vac</v>
      </c>
      <c r="E7" s="12" t="str">
        <f>HLOOKUP(Language!$C$3,Language!$E$1:$Z503,6,FALSE)</f>
        <v>100-250 Vdc / 110-240 Vac</v>
      </c>
      <c r="F7" s="12" t="str">
        <f>HLOOKUP(Language!$C$3,Language!$E$1:$Z503,6,FALSE)</f>
        <v>100-250 Vdc / 110-240 Vac</v>
      </c>
      <c r="G7" s="12" t="str">
        <f>HLOOKUP(Language!$C$3,Language!$E$1:$Z503,6,FALSE)</f>
        <v>100-250 Vdc / 110-240 Vac</v>
      </c>
      <c r="H7" s="12" t="str">
        <f>HLOOKUP(Language!$C$3,Language!$E$1:$Z503,6,FALSE)</f>
        <v>100-250 Vdc / 110-240 Vac</v>
      </c>
      <c r="I7" s="12" t="str">
        <f>HLOOKUP(Language!$C$3,Language!$E$1:$Z503,6,FALSE)</f>
        <v>100-250 Vdc / 110-240 Vac</v>
      </c>
    </row>
    <row r="8" spans="1:9" x14ac:dyDescent="0.2">
      <c r="B8" s="12"/>
      <c r="C8" s="12"/>
      <c r="D8" s="12"/>
      <c r="E8" s="12"/>
      <c r="F8" s="12"/>
      <c r="G8" s="12"/>
      <c r="H8" s="12"/>
      <c r="I8" s="12"/>
    </row>
    <row r="9" spans="1:9" x14ac:dyDescent="0.2">
      <c r="B9" s="12"/>
      <c r="C9" s="12"/>
      <c r="D9" s="12"/>
      <c r="E9" s="12"/>
      <c r="F9" s="12"/>
      <c r="G9" s="12"/>
      <c r="H9" s="12"/>
      <c r="I9" s="12"/>
    </row>
    <row r="10" spans="1:9" x14ac:dyDescent="0.2">
      <c r="B10" s="9"/>
      <c r="C10" s="9"/>
      <c r="D10" s="9"/>
      <c r="E10" s="9"/>
      <c r="F10" s="9"/>
      <c r="G10" s="9"/>
      <c r="H10" s="9"/>
      <c r="I10" s="9"/>
    </row>
    <row r="11" spans="1:9" x14ac:dyDescent="0.2">
      <c r="A11" s="13"/>
      <c r="B11" s="8">
        <v>3</v>
      </c>
      <c r="C11" s="8">
        <v>1</v>
      </c>
      <c r="D11" s="8">
        <v>1</v>
      </c>
      <c r="E11" s="8">
        <v>1</v>
      </c>
      <c r="F11" s="8">
        <v>1</v>
      </c>
      <c r="G11" s="8">
        <v>1</v>
      </c>
      <c r="H11" s="8">
        <v>1</v>
      </c>
      <c r="I11" s="8">
        <v>1</v>
      </c>
    </row>
    <row r="12" spans="1:9" x14ac:dyDescent="0.2">
      <c r="B12" s="9"/>
      <c r="C12" s="9">
        <v>3</v>
      </c>
      <c r="D12" s="9">
        <v>3</v>
      </c>
      <c r="E12" s="9">
        <v>3</v>
      </c>
      <c r="F12" s="9">
        <v>3</v>
      </c>
      <c r="G12" s="9">
        <v>3</v>
      </c>
      <c r="H12" s="9">
        <v>3</v>
      </c>
      <c r="I12" s="9">
        <v>3</v>
      </c>
    </row>
    <row r="13" spans="1:9" x14ac:dyDescent="0.2">
      <c r="B13" s="9"/>
      <c r="C13" s="9"/>
      <c r="D13" s="9"/>
      <c r="E13" s="9"/>
      <c r="F13" s="9"/>
      <c r="G13" s="9"/>
      <c r="H13" s="9"/>
      <c r="I13" s="9"/>
    </row>
    <row r="14" spans="1:9" x14ac:dyDescent="0.2">
      <c r="B14" s="9"/>
      <c r="C14" s="9"/>
      <c r="D14" s="9"/>
      <c r="E14" s="9"/>
      <c r="F14" s="9"/>
      <c r="G14" s="9"/>
      <c r="H14" s="9"/>
      <c r="I14" s="9"/>
    </row>
    <row r="15" spans="1:9" x14ac:dyDescent="0.2">
      <c r="B15" s="9"/>
      <c r="C15" s="9"/>
      <c r="D15" s="9"/>
      <c r="E15" s="9"/>
      <c r="F15" s="9"/>
      <c r="G15" s="9"/>
      <c r="H15" s="9"/>
      <c r="I15" s="9"/>
    </row>
    <row r="16" spans="1:9" x14ac:dyDescent="0.2">
      <c r="A16" s="10" t="str">
        <f>HLOOKUP(Language!$C$3,Language!$E$1:$Z500,7,FALSE)</f>
        <v>Network Interface</v>
      </c>
      <c r="B16" s="15" t="str">
        <f>HLOOKUP(Language!$C$3,Language!$E$1:$Z502,8,FALSE)</f>
        <v>Two RJ45 copper 100BASE-TX Ethernet interfaces</v>
      </c>
      <c r="C16" s="15" t="str">
        <f>HLOOKUP(Language!$C$3,Language!$E$1:$Z502,8,FALSE)</f>
        <v>Two RJ45 copper 100BASE-TX Ethernet interfaces</v>
      </c>
      <c r="D16" s="15" t="str">
        <f>HLOOKUP(Language!$C$3,Language!$E$1:$Z502,8,FALSE)</f>
        <v>Two RJ45 copper 100BASE-TX Ethernet interfaces</v>
      </c>
      <c r="E16" s="15" t="str">
        <f>HLOOKUP(Language!$C$3,Language!$E$1:$Z502,8,FALSE)</f>
        <v>Two RJ45 copper 100BASE-TX Ethernet interfaces</v>
      </c>
      <c r="F16" s="15" t="str">
        <f>HLOOKUP(Language!$C$3,Language!$E$1:$Z502,8,FALSE)</f>
        <v>Two RJ45 copper 100BASE-TX Ethernet interfaces</v>
      </c>
      <c r="G16" s="15" t="str">
        <f>HLOOKUP(Language!$C$3,Language!$E$1:$Z502,8,FALSE)</f>
        <v>Two RJ45 copper 100BASE-TX Ethernet interfaces</v>
      </c>
      <c r="H16" s="15" t="str">
        <f>HLOOKUP(Language!$C$3,Language!$E$1:$Z502,8,FALSE)</f>
        <v>Two RJ45 copper 100BASE-TX Ethernet interfaces</v>
      </c>
      <c r="I16" s="15" t="str">
        <f>HLOOKUP(Language!$C$3,Language!$E$1:$Z502,8,FALSE)</f>
        <v>Two RJ45 copper 100BASE-TX Ethernet interfaces</v>
      </c>
    </row>
    <row r="17" spans="1:9" x14ac:dyDescent="0.2">
      <c r="A17" s="30"/>
      <c r="B17" s="9" t="str">
        <f>HLOOKUP(Language!$C$3,Language!$E$1:$Z502,9,FALSE)</f>
        <v>Two RJ45 copper or duplex ST-type connector 100BASE-X Ethernet interfaces</v>
      </c>
      <c r="C17" s="9" t="str">
        <f>HLOOKUP(Language!$C$3,Language!$E$1:$Z502,9,FALSE)</f>
        <v>Two RJ45 copper or duplex ST-type connector 100BASE-X Ethernet interfaces</v>
      </c>
      <c r="D17" s="9" t="str">
        <f>HLOOKUP(Language!$C$3,Language!$E$1:$Z502,9,FALSE)</f>
        <v>Two RJ45 copper or duplex ST-type connector 100BASE-X Ethernet interfaces</v>
      </c>
      <c r="E17" s="9" t="str">
        <f>HLOOKUP(Language!$C$3,Language!$E$1:$Z502,9,FALSE)</f>
        <v>Two RJ45 copper or duplex ST-type connector 100BASE-X Ethernet interfaces</v>
      </c>
      <c r="F17" s="9" t="str">
        <f>HLOOKUP(Language!$C$3,Language!$E$1:$Z502,9,FALSE)</f>
        <v>Two RJ45 copper or duplex ST-type connector 100BASE-X Ethernet interfaces</v>
      </c>
      <c r="G17" s="9" t="str">
        <f>HLOOKUP(Language!$C$3,Language!$E$1:$Z502,9,FALSE)</f>
        <v>Two RJ45 copper or duplex ST-type connector 100BASE-X Ethernet interfaces</v>
      </c>
      <c r="H17" s="9" t="str">
        <f>HLOOKUP(Language!$C$3,Language!$E$1:$Z502,9,FALSE)</f>
        <v>Two RJ45 copper or duplex ST-type connector 100BASE-X Ethernet interfaces</v>
      </c>
      <c r="I17" s="9" t="str">
        <f>HLOOKUP(Language!$C$3,Language!$E$1:$Z502,9,FALSE)</f>
        <v>Two RJ45 copper or duplex ST-type connector 100BASE-X Ethernet interfaces</v>
      </c>
    </row>
    <row r="18" spans="1:9" x14ac:dyDescent="0.2">
      <c r="A18" s="30"/>
      <c r="B18" s="9"/>
      <c r="C18" s="9"/>
      <c r="D18" s="9"/>
      <c r="E18" s="9"/>
      <c r="F18" s="9"/>
      <c r="G18" s="9"/>
      <c r="H18" s="9"/>
      <c r="I18" s="9"/>
    </row>
    <row r="19" spans="1:9" x14ac:dyDescent="0.2">
      <c r="B19" s="9"/>
      <c r="C19" s="9"/>
      <c r="D19" s="9"/>
      <c r="E19" s="9"/>
      <c r="F19" s="9"/>
      <c r="G19" s="9"/>
      <c r="H19" s="9"/>
      <c r="I19" s="9"/>
    </row>
    <row r="20" spans="1:9" x14ac:dyDescent="0.2">
      <c r="B20" s="8" t="s">
        <v>26</v>
      </c>
      <c r="C20" s="8" t="s">
        <v>26</v>
      </c>
      <c r="D20" s="8" t="s">
        <v>26</v>
      </c>
      <c r="E20" s="8" t="s">
        <v>26</v>
      </c>
      <c r="F20" s="8" t="s">
        <v>26</v>
      </c>
      <c r="G20" s="8" t="s">
        <v>26</v>
      </c>
      <c r="H20" s="8" t="s">
        <v>26</v>
      </c>
      <c r="I20" s="8" t="s">
        <v>26</v>
      </c>
    </row>
    <row r="21" spans="1:9" x14ac:dyDescent="0.2">
      <c r="B21" s="9" t="s">
        <v>28</v>
      </c>
      <c r="C21" s="9" t="s">
        <v>28</v>
      </c>
      <c r="D21" s="9" t="s">
        <v>28</v>
      </c>
      <c r="E21" s="9" t="s">
        <v>28</v>
      </c>
      <c r="F21" s="9" t="s">
        <v>28</v>
      </c>
      <c r="G21" s="9" t="s">
        <v>28</v>
      </c>
      <c r="H21" s="9" t="s">
        <v>28</v>
      </c>
      <c r="I21" s="9" t="s">
        <v>28</v>
      </c>
    </row>
    <row r="22" spans="1:9" x14ac:dyDescent="0.2">
      <c r="B22" s="9"/>
      <c r="C22" s="9"/>
      <c r="D22" s="9"/>
      <c r="E22" s="9"/>
      <c r="F22" s="9"/>
      <c r="G22" s="9"/>
      <c r="H22" s="9"/>
      <c r="I22" s="9"/>
    </row>
    <row r="23" spans="1:9" x14ac:dyDescent="0.2">
      <c r="B23" s="9"/>
      <c r="C23" s="9"/>
      <c r="D23" s="9"/>
      <c r="E23" s="9"/>
      <c r="F23" s="9"/>
      <c r="G23" s="9"/>
      <c r="H23" s="9"/>
      <c r="I23" s="9"/>
    </row>
    <row r="24" spans="1:9" x14ac:dyDescent="0.2">
      <c r="A24" s="10" t="str">
        <f>HLOOKUP(Language!$C$3,Language!$E$1:$Z500,10,FALSE)</f>
        <v>Functions and Protocols</v>
      </c>
      <c r="B24" s="15" t="str">
        <f>HLOOKUP(Language!$C$3,Language!$E$1:$Z502,19,FALSE)</f>
        <v>IEC 61850-9-2LE Inputs</v>
      </c>
      <c r="C24" s="15" t="str">
        <f>HLOOKUP(Language!$C$3,Language!$E$1:$Z502,19,FALSE)</f>
        <v>IEC 61850-9-2LE Inputs</v>
      </c>
      <c r="D24" s="15" t="str">
        <f>HLOOKUP(Language!$C$3,Language!$E$1:$Z502,19,FALSE)</f>
        <v>IEC 61850-9-2LE Inputs</v>
      </c>
      <c r="E24" s="15" t="str">
        <f>HLOOKUP(Language!$C$3,Language!$E$1:$Z502,19,FALSE)</f>
        <v>IEC 61850-9-2LE Inputs</v>
      </c>
      <c r="F24" s="15" t="str">
        <f>HLOOKUP(Language!$C$3,Language!$E$1:$Z502,19,FALSE)</f>
        <v>IEC 61850-9-2LE Inputs</v>
      </c>
      <c r="G24" s="15" t="str">
        <f>HLOOKUP(Language!$C$3,Language!$E$1:$Z502,19,FALSE)</f>
        <v>IEC 61850-9-2LE Inputs</v>
      </c>
      <c r="H24" s="15" t="str">
        <f>HLOOKUP(Language!$C$3,Language!$E$1:$Z502,19,FALSE)</f>
        <v>IEC 61850-9-2LE Inputs</v>
      </c>
      <c r="I24" s="15" t="str">
        <f>HLOOKUP(Language!$C$3,Language!$E$1:$Z502,19,FALSE)</f>
        <v>IEC 61850-9-2LE Inputs</v>
      </c>
    </row>
    <row r="25" spans="1:9" x14ac:dyDescent="0.2">
      <c r="A25" s="30"/>
      <c r="B25" s="54" t="str">
        <f>HLOOKUP(Language!$C$3,Language!$E$1:$Z502,20,FALSE)</f>
        <v>Travelling Wave Fault Location</v>
      </c>
      <c r="C25" s="54" t="str">
        <f>HLOOKUP(Language!$C$3,Language!$E$1:$Z502,20,FALSE)</f>
        <v>Travelling Wave Fault Location</v>
      </c>
      <c r="D25" s="54" t="str">
        <f>HLOOKUP(Language!$C$3,Language!$E$1:$Z502,20,FALSE)</f>
        <v>Travelling Wave Fault Location</v>
      </c>
      <c r="E25" s="54" t="str">
        <f>HLOOKUP(Language!$C$3,Language!$E$1:$Z502,20,FALSE)</f>
        <v>Travelling Wave Fault Location</v>
      </c>
      <c r="F25" s="54" t="str">
        <f>HLOOKUP(Language!$C$3,Language!$E$1:$Z502,20,FALSE)</f>
        <v>Travelling Wave Fault Location</v>
      </c>
      <c r="G25" s="54" t="str">
        <f>HLOOKUP(Language!$C$3,Language!$E$1:$Z502,20,FALSE)</f>
        <v>Travelling Wave Fault Location</v>
      </c>
      <c r="H25" s="54" t="str">
        <f>HLOOKUP(Language!$C$3,Language!$E$1:$Z502,20,FALSE)</f>
        <v>Travelling Wave Fault Location</v>
      </c>
      <c r="I25" s="54" t="str">
        <f>HLOOKUP(Language!$C$3,Language!$E$1:$Z502,20,FALSE)</f>
        <v>Travelling Wave Fault Location</v>
      </c>
    </row>
    <row r="26" spans="1:9" x14ac:dyDescent="0.2">
      <c r="A26" s="30"/>
      <c r="B26" s="9"/>
      <c r="C26" s="9"/>
      <c r="D26" s="9" t="str">
        <f>HLOOKUP(Language!$C$3,Language!$E$1:$Z498,43,FALSE)</f>
        <v>Waveform Measurement Unit (WMU)</v>
      </c>
      <c r="E26" s="9" t="str">
        <f>HLOOKUP(Language!$C$3,Language!$E$1:$Z498,43,FALSE)</f>
        <v>Waveform Measurement Unit (WMU)</v>
      </c>
      <c r="F26" s="9" t="str">
        <f>HLOOKUP(Language!$C$3,Language!$E$1:$Z498,43,FALSE)</f>
        <v>Waveform Measurement Unit (WMU)</v>
      </c>
      <c r="G26" s="9" t="str">
        <f>HLOOKUP(Language!$C$3,Language!$E$1:$Z498,43,FALSE)</f>
        <v>Waveform Measurement Unit (WMU)</v>
      </c>
      <c r="H26" s="9" t="str">
        <f>HLOOKUP(Language!$C$3,Language!$E$1:$Z498,43,FALSE)</f>
        <v>Waveform Measurement Unit (WMU)</v>
      </c>
      <c r="I26" s="9" t="str">
        <f>HLOOKUP(Language!$C$3,Language!$E$1:$Z498,43,FALSE)</f>
        <v>Waveform Measurement Unit (WMU)</v>
      </c>
    </row>
    <row r="27" spans="1:9" x14ac:dyDescent="0.2">
      <c r="A27" s="30"/>
      <c r="B27" s="8">
        <v>1</v>
      </c>
      <c r="C27" s="8">
        <v>1</v>
      </c>
      <c r="D27" s="8">
        <v>1</v>
      </c>
      <c r="E27" s="8">
        <v>1</v>
      </c>
      <c r="F27" s="8">
        <v>1</v>
      </c>
      <c r="G27" s="8">
        <v>1</v>
      </c>
      <c r="H27" s="8">
        <v>1</v>
      </c>
      <c r="I27" s="8">
        <v>1</v>
      </c>
    </row>
    <row r="28" spans="1:9" x14ac:dyDescent="0.2">
      <c r="A28" s="30"/>
      <c r="B28" s="9">
        <v>2</v>
      </c>
      <c r="C28" s="9">
        <v>2</v>
      </c>
      <c r="D28" s="9">
        <v>2</v>
      </c>
      <c r="E28" s="9">
        <v>2</v>
      </c>
      <c r="F28" s="9">
        <v>2</v>
      </c>
      <c r="G28" s="9">
        <v>2</v>
      </c>
      <c r="H28" s="9">
        <v>2</v>
      </c>
      <c r="I28" s="9">
        <v>2</v>
      </c>
    </row>
    <row r="29" spans="1:9" x14ac:dyDescent="0.2">
      <c r="A29" s="30"/>
      <c r="B29" s="9"/>
      <c r="C29" s="9"/>
      <c r="D29" s="9">
        <v>3</v>
      </c>
      <c r="E29" s="9">
        <v>3</v>
      </c>
      <c r="F29" s="9">
        <v>3</v>
      </c>
      <c r="G29" s="9">
        <v>3</v>
      </c>
      <c r="H29" s="9">
        <v>3</v>
      </c>
      <c r="I29" s="9">
        <v>3</v>
      </c>
    </row>
    <row r="30" spans="1:9" x14ac:dyDescent="0.2">
      <c r="A30" s="30"/>
      <c r="B30" s="8" t="str">
        <f>HLOOKUP(Language!$C$3,Language!$E$1:$Z502,15,FALSE)</f>
        <v>Phasor Measurement Unit (PMU)</v>
      </c>
      <c r="C30" s="8" t="str">
        <f>HLOOKUP(Language!$C$3,Language!$E$1:$Z502,15,FALSE)</f>
        <v>Phasor Measurement Unit (PMU)</v>
      </c>
      <c r="D30" s="8" t="str">
        <f>HLOOKUP(Language!$C$3,Language!$E$1:$Z502,15,FALSE)</f>
        <v>Phasor Measurement Unit (PMU)</v>
      </c>
      <c r="E30" s="8" t="str">
        <f>HLOOKUP(Language!$C$3,Language!$E$1:$Z502,15,FALSE)</f>
        <v>Phasor Measurement Unit (PMU)</v>
      </c>
      <c r="F30" s="8" t="str">
        <f>HLOOKUP(Language!$C$3,Language!$E$1:$Z502,15,FALSE)</f>
        <v>Phasor Measurement Unit (PMU)</v>
      </c>
      <c r="G30" s="8" t="str">
        <f>HLOOKUP(Language!$C$3,Language!$E$1:$Z502,15,FALSE)</f>
        <v>Phasor Measurement Unit (PMU)</v>
      </c>
      <c r="H30" s="8" t="str">
        <f>HLOOKUP(Language!$C$3,Language!$E$1:$Z502,15,FALSE)</f>
        <v>Phasor Measurement Unit (PMU)</v>
      </c>
      <c r="I30" s="8" t="str">
        <f>HLOOKUP(Language!$C$3,Language!$E$1:$Z502,15,FALSE)</f>
        <v>Phasor Measurement Unit (PMU)</v>
      </c>
    </row>
    <row r="31" spans="1:9" x14ac:dyDescent="0.2">
      <c r="B31" s="9" t="str">
        <f>HLOOKUP(Language!$C$3,Language!$E$1:$Z502,16,FALSE)</f>
        <v>GOOSE Message Subscription</v>
      </c>
      <c r="C31" s="9" t="str">
        <f>HLOOKUP(Language!$C$3,Language!$E$1:$Z502,16,FALSE)</f>
        <v>GOOSE Message Subscription</v>
      </c>
      <c r="D31" s="9" t="str">
        <f>HLOOKUP(Language!$C$3,Language!$E$1:$Z502,16,FALSE)</f>
        <v>GOOSE Message Subscription</v>
      </c>
      <c r="E31" s="9" t="str">
        <f>HLOOKUP(Language!$C$3,Language!$E$1:$Z502,16,FALSE)</f>
        <v>GOOSE Message Subscription</v>
      </c>
      <c r="F31" s="9" t="str">
        <f>HLOOKUP(Language!$C$3,Language!$E$1:$Z502,16,FALSE)</f>
        <v>GOOSE Message Subscription</v>
      </c>
      <c r="G31" s="9" t="str">
        <f>HLOOKUP(Language!$C$3,Language!$E$1:$Z502,16,FALSE)</f>
        <v>GOOSE Message Subscription</v>
      </c>
      <c r="H31" s="9" t="str">
        <f>HLOOKUP(Language!$C$3,Language!$E$1:$Z502,16,FALSE)</f>
        <v>GOOSE Message Subscription</v>
      </c>
      <c r="I31" s="9" t="str">
        <f>HLOOKUP(Language!$C$3,Language!$E$1:$Z502,16,FALSE)</f>
        <v>GOOSE Message Subscription</v>
      </c>
    </row>
    <row r="32" spans="1:9" x14ac:dyDescent="0.2">
      <c r="B32" s="54" t="str">
        <f>HLOOKUP(Language!$C$3,Language!$E$1:$Z502,17,FALSE)</f>
        <v>MODBUS/DNP3.0 Interface</v>
      </c>
      <c r="C32" s="54" t="str">
        <f>HLOOKUP(Language!$C$3,Language!$E$1:$Z502,17,FALSE)</f>
        <v>MODBUS/DNP3.0 Interface</v>
      </c>
      <c r="D32" s="54" t="str">
        <f>HLOOKUP(Language!$C$3,Language!$E$1:$Z502,17,FALSE)</f>
        <v>MODBUS/DNP3.0 Interface</v>
      </c>
      <c r="E32" s="54" t="str">
        <f>HLOOKUP(Language!$C$3,Language!$E$1:$Z502,17,FALSE)</f>
        <v>MODBUS/DNP3.0 Interface</v>
      </c>
      <c r="F32" s="54" t="str">
        <f>HLOOKUP(Language!$C$3,Language!$E$1:$Z502,17,FALSE)</f>
        <v>MODBUS/DNP3.0 Interface</v>
      </c>
      <c r="G32" s="54" t="str">
        <f>HLOOKUP(Language!$C$3,Language!$E$1:$Z502,17,FALSE)</f>
        <v>MODBUS/DNP3.0 Interface</v>
      </c>
      <c r="H32" s="54" t="str">
        <f>HLOOKUP(Language!$C$3,Language!$E$1:$Z502,17,FALSE)</f>
        <v>MODBUS/DNP3.0 Interface</v>
      </c>
      <c r="I32" s="54" t="str">
        <f>HLOOKUP(Language!$C$3,Language!$E$1:$Z502,17,FALSE)</f>
        <v>MODBUS/DNP3.0 Interface</v>
      </c>
    </row>
    <row r="33" spans="2:9" x14ac:dyDescent="0.2">
      <c r="B33" s="9" t="str">
        <f>HLOOKUP(Language!$C$3,Language!$E$1:$Z502,18,FALSE)</f>
        <v>Power Quality</v>
      </c>
      <c r="C33" s="9" t="str">
        <f>HLOOKUP(Language!$C$3,Language!$E$1:$Z502,18,FALSE)</f>
        <v>Power Quality</v>
      </c>
      <c r="D33" s="9" t="str">
        <f>HLOOKUP(Language!$C$3,Language!$E$1:$Z502,18,FALSE)</f>
        <v>Power Quality</v>
      </c>
      <c r="E33" s="9" t="str">
        <f>HLOOKUP(Language!$C$3,Language!$E$1:$Z502,18,FALSE)</f>
        <v>Power Quality</v>
      </c>
      <c r="F33" s="9" t="str">
        <f>HLOOKUP(Language!$C$3,Language!$E$1:$Z502,18,FALSE)</f>
        <v>Power Quality</v>
      </c>
      <c r="G33" s="9" t="str">
        <f>HLOOKUP(Language!$C$3,Language!$E$1:$Z502,18,FALSE)</f>
        <v>Power Quality</v>
      </c>
      <c r="H33" s="9" t="str">
        <f>HLOOKUP(Language!$C$3,Language!$E$1:$Z502,18,FALSE)</f>
        <v>Power Quality</v>
      </c>
      <c r="I33" s="9" t="str">
        <f>HLOOKUP(Language!$C$3,Language!$E$1:$Z502,18,FALSE)</f>
        <v>Power Quality</v>
      </c>
    </row>
    <row r="34" spans="2:9" x14ac:dyDescent="0.2">
      <c r="B34" s="9"/>
      <c r="C34" s="9"/>
      <c r="D34" s="9"/>
      <c r="E34" s="9"/>
      <c r="F34" s="9"/>
      <c r="G34" s="9"/>
      <c r="H34" s="9"/>
      <c r="I34" s="9"/>
    </row>
    <row r="35" spans="2:9" x14ac:dyDescent="0.2">
      <c r="B35" s="8">
        <v>1</v>
      </c>
      <c r="C35" s="8">
        <v>1</v>
      </c>
      <c r="D35" s="8">
        <v>1</v>
      </c>
      <c r="E35" s="8">
        <v>1</v>
      </c>
      <c r="F35" s="8">
        <v>1</v>
      </c>
      <c r="G35" s="8">
        <v>1</v>
      </c>
      <c r="H35" s="8">
        <v>1</v>
      </c>
      <c r="I35" s="8">
        <v>1</v>
      </c>
    </row>
    <row r="36" spans="2:9" x14ac:dyDescent="0.2">
      <c r="B36" s="9">
        <v>2</v>
      </c>
      <c r="C36" s="9">
        <v>2</v>
      </c>
      <c r="D36" s="9">
        <v>2</v>
      </c>
      <c r="E36" s="9">
        <v>2</v>
      </c>
      <c r="F36" s="9">
        <v>2</v>
      </c>
      <c r="G36" s="9">
        <v>2</v>
      </c>
      <c r="H36" s="9">
        <v>2</v>
      </c>
      <c r="I36" s="9">
        <v>2</v>
      </c>
    </row>
    <row r="37" spans="2:9" x14ac:dyDescent="0.2">
      <c r="B37" s="9">
        <v>4</v>
      </c>
      <c r="C37" s="9">
        <v>4</v>
      </c>
      <c r="D37" s="9">
        <v>4</v>
      </c>
      <c r="E37" s="9">
        <v>4</v>
      </c>
      <c r="F37" s="9">
        <v>4</v>
      </c>
      <c r="G37" s="9">
        <v>4</v>
      </c>
      <c r="H37" s="9">
        <v>4</v>
      </c>
      <c r="I37" s="9">
        <v>4</v>
      </c>
    </row>
    <row r="38" spans="2:9" x14ac:dyDescent="0.2">
      <c r="B38" s="9">
        <v>8</v>
      </c>
      <c r="C38" s="9">
        <v>8</v>
      </c>
      <c r="D38" s="9">
        <v>8</v>
      </c>
      <c r="E38" s="9">
        <v>8</v>
      </c>
      <c r="F38" s="9">
        <v>8</v>
      </c>
      <c r="G38" s="9">
        <v>8</v>
      </c>
      <c r="H38" s="9">
        <v>8</v>
      </c>
      <c r="I38" s="9">
        <v>8</v>
      </c>
    </row>
    <row r="39" spans="2:9" x14ac:dyDescent="0.2">
      <c r="B39" s="9"/>
      <c r="C39" s="9"/>
      <c r="D39" s="9"/>
      <c r="E39" s="9"/>
      <c r="F39" s="9"/>
      <c r="G39" s="9"/>
      <c r="H39" s="9"/>
      <c r="I39" s="9"/>
    </row>
    <row r="40" spans="2:9" x14ac:dyDescent="0.2">
      <c r="B40" s="8" t="str">
        <f>HLOOKUP(Language!$C$3,Language!$E$1:$Z502,11,FALSE)</f>
        <v>Fault Recorder</v>
      </c>
      <c r="C40" s="8" t="str">
        <f>HLOOKUP(Language!$C$3,Language!$E$1:$Z502,11,FALSE)</f>
        <v>Fault Recorder</v>
      </c>
      <c r="D40" s="8" t="str">
        <f>HLOOKUP(Language!$C$3,Language!$E$1:$Z502,11,FALSE)</f>
        <v>Fault Recorder</v>
      </c>
      <c r="E40" s="8" t="str">
        <f>HLOOKUP(Language!$C$3,Language!$E$1:$Z502,11,FALSE)</f>
        <v>Fault Recorder</v>
      </c>
      <c r="F40" s="8" t="str">
        <f>HLOOKUP(Language!$C$3,Language!$E$1:$Z502,11,FALSE)</f>
        <v>Fault Recorder</v>
      </c>
      <c r="G40" s="8" t="str">
        <f>HLOOKUP(Language!$C$3,Language!$E$1:$Z502,11,FALSE)</f>
        <v>Fault Recorder</v>
      </c>
      <c r="H40" s="8" t="str">
        <f>HLOOKUP(Language!$C$3,Language!$E$1:$Z502,11,FALSE)</f>
        <v>Fault Recorder</v>
      </c>
      <c r="I40" s="8" t="str">
        <f>HLOOKUP(Language!$C$3,Language!$E$1:$Z502,11,FALSE)</f>
        <v>Fault Recorder</v>
      </c>
    </row>
    <row r="41" spans="2:9" x14ac:dyDescent="0.2">
      <c r="B41" s="9" t="str">
        <f>HLOOKUP(Language!$C$3,Language!$E$1:$Z502,12,FALSE)</f>
        <v>Sequence of Events Recorder</v>
      </c>
      <c r="C41" s="9" t="str">
        <f>HLOOKUP(Language!$C$3,Language!$E$1:$Z502,12,FALSE)</f>
        <v>Sequence of Events Recorder</v>
      </c>
      <c r="D41" s="9" t="str">
        <f>HLOOKUP(Language!$C$3,Language!$E$1:$Z502,12,FALSE)</f>
        <v>Sequence of Events Recorder</v>
      </c>
      <c r="E41" s="9" t="str">
        <f>HLOOKUP(Language!$C$3,Language!$E$1:$Z502,12,FALSE)</f>
        <v>Sequence of Events Recorder</v>
      </c>
      <c r="F41" s="9" t="str">
        <f>HLOOKUP(Language!$C$3,Language!$E$1:$Z502,12,FALSE)</f>
        <v>Sequence of Events Recorder</v>
      </c>
      <c r="G41" s="9" t="str">
        <f>HLOOKUP(Language!$C$3,Language!$E$1:$Z502,12,FALSE)</f>
        <v>Sequence of Events Recorder</v>
      </c>
      <c r="H41" s="9" t="str">
        <f>HLOOKUP(Language!$C$3,Language!$E$1:$Z502,12,FALSE)</f>
        <v>Sequence of Events Recorder</v>
      </c>
      <c r="I41" s="9" t="str">
        <f>HLOOKUP(Language!$C$3,Language!$E$1:$Z502,12,FALSE)</f>
        <v>Sequence of Events Recorder</v>
      </c>
    </row>
    <row r="42" spans="2:9" x14ac:dyDescent="0.2">
      <c r="B42" s="9" t="str">
        <f>HLOOKUP(Language!$C$3,Language!$E$1:$Z502,13,FALSE)</f>
        <v>Disturbance Recorder</v>
      </c>
      <c r="C42" s="9" t="str">
        <f>HLOOKUP(Language!$C$3,Language!$E$1:$Z502,13,FALSE)</f>
        <v>Disturbance Recorder</v>
      </c>
      <c r="D42" s="9" t="str">
        <f>HLOOKUP(Language!$C$3,Language!$E$1:$Z502,13,FALSE)</f>
        <v>Disturbance Recorder</v>
      </c>
      <c r="E42" s="9" t="str">
        <f>HLOOKUP(Language!$C$3,Language!$E$1:$Z502,13,FALSE)</f>
        <v>Disturbance Recorder</v>
      </c>
      <c r="F42" s="9" t="str">
        <f>HLOOKUP(Language!$C$3,Language!$E$1:$Z502,13,FALSE)</f>
        <v>Disturbance Recorder</v>
      </c>
      <c r="G42" s="9" t="str">
        <f>HLOOKUP(Language!$C$3,Language!$E$1:$Z502,13,FALSE)</f>
        <v>Disturbance Recorder</v>
      </c>
      <c r="H42" s="9" t="str">
        <f>HLOOKUP(Language!$C$3,Language!$E$1:$Z502,13,FALSE)</f>
        <v>Disturbance Recorder</v>
      </c>
      <c r="I42" s="9" t="str">
        <f>HLOOKUP(Language!$C$3,Language!$E$1:$Z502,13,FALSE)</f>
        <v>Disturbance Recorder</v>
      </c>
    </row>
    <row r="43" spans="2:9" x14ac:dyDescent="0.2">
      <c r="B43" s="9" t="str">
        <f>HLOOKUP(Language!$C$3,Language!$E$1:$Z502,14,FALSE)</f>
        <v>Continuous Fault and Disturbance Recorder</v>
      </c>
      <c r="C43" s="9" t="str">
        <f>HLOOKUP(Language!$C$3,Language!$E$1:$Z502,14,FALSE)</f>
        <v>Continuous Fault and Disturbance Recorder</v>
      </c>
      <c r="D43" s="9" t="str">
        <f>HLOOKUP(Language!$C$3,Language!$E$1:$Z502,14,FALSE)</f>
        <v>Continuous Fault and Disturbance Recorder</v>
      </c>
      <c r="E43" s="9" t="str">
        <f>HLOOKUP(Language!$C$3,Language!$E$1:$Z502,14,FALSE)</f>
        <v>Continuous Fault and Disturbance Recorder</v>
      </c>
      <c r="F43" s="9" t="str">
        <f>HLOOKUP(Language!$C$3,Language!$E$1:$Z502,14,FALSE)</f>
        <v>Continuous Fault and Disturbance Recorder</v>
      </c>
      <c r="G43" s="9" t="str">
        <f>HLOOKUP(Language!$C$3,Language!$E$1:$Z502,14,FALSE)</f>
        <v>Continuous Fault and Disturbance Recorder</v>
      </c>
      <c r="H43" s="9" t="str">
        <f>HLOOKUP(Language!$C$3,Language!$E$1:$Z502,14,FALSE)</f>
        <v>Continuous Fault and Disturbance Recorder</v>
      </c>
      <c r="I43" s="9" t="str">
        <f>HLOOKUP(Language!$C$3,Language!$E$1:$Z502,14,FALSE)</f>
        <v>Continuous Fault and Disturbance Recorder</v>
      </c>
    </row>
    <row r="44" spans="2:9" x14ac:dyDescent="0.2">
      <c r="B44" s="9"/>
      <c r="C44" s="9"/>
      <c r="D44" s="9"/>
      <c r="E44" s="9"/>
      <c r="F44" s="9"/>
      <c r="G44" s="9"/>
      <c r="H44" s="9"/>
      <c r="I44" s="9"/>
    </row>
    <row r="45" spans="2:9" x14ac:dyDescent="0.2">
      <c r="B45" s="8">
        <v>1</v>
      </c>
      <c r="C45" s="8">
        <v>1</v>
      </c>
      <c r="D45" s="8">
        <v>1</v>
      </c>
      <c r="E45" s="8">
        <v>1</v>
      </c>
      <c r="F45" s="8">
        <v>1</v>
      </c>
      <c r="G45" s="8">
        <v>1</v>
      </c>
      <c r="H45" s="8">
        <v>1</v>
      </c>
      <c r="I45" s="8">
        <v>1</v>
      </c>
    </row>
    <row r="46" spans="2:9" x14ac:dyDescent="0.2">
      <c r="B46" s="9">
        <v>2</v>
      </c>
      <c r="C46" s="9">
        <v>2</v>
      </c>
      <c r="D46" s="9">
        <v>2</v>
      </c>
      <c r="E46" s="9">
        <v>2</v>
      </c>
      <c r="F46" s="9">
        <v>2</v>
      </c>
      <c r="G46" s="9">
        <v>2</v>
      </c>
      <c r="H46" s="9">
        <v>2</v>
      </c>
      <c r="I46" s="9">
        <v>2</v>
      </c>
    </row>
    <row r="47" spans="2:9" x14ac:dyDescent="0.2">
      <c r="B47" s="9">
        <v>4</v>
      </c>
      <c r="C47" s="9">
        <v>4</v>
      </c>
      <c r="D47" s="9">
        <v>4</v>
      </c>
      <c r="E47" s="9">
        <v>4</v>
      </c>
      <c r="F47" s="9">
        <v>4</v>
      </c>
      <c r="G47" s="9">
        <v>4</v>
      </c>
      <c r="H47" s="9">
        <v>4</v>
      </c>
      <c r="I47" s="9">
        <v>4</v>
      </c>
    </row>
    <row r="48" spans="2:9" x14ac:dyDescent="0.2">
      <c r="B48" s="9">
        <v>8</v>
      </c>
      <c r="C48" s="9">
        <v>8</v>
      </c>
      <c r="D48" s="9">
        <v>8</v>
      </c>
      <c r="E48" s="9">
        <v>8</v>
      </c>
      <c r="F48" s="9">
        <v>8</v>
      </c>
      <c r="G48" s="9">
        <v>8</v>
      </c>
      <c r="H48" s="9">
        <v>8</v>
      </c>
      <c r="I48" s="9">
        <v>8</v>
      </c>
    </row>
    <row r="49" spans="1:9" x14ac:dyDescent="0.2">
      <c r="B49" s="9"/>
      <c r="C49" s="9"/>
      <c r="D49" s="9"/>
      <c r="E49" s="9"/>
      <c r="F49" s="9"/>
      <c r="G49" s="9"/>
      <c r="H49" s="9"/>
      <c r="I49" s="9"/>
    </row>
    <row r="50" spans="1:9" x14ac:dyDescent="0.2">
      <c r="A50" s="10" t="str">
        <f>HLOOKUP(Language!$C$3,Language!$E$1:$Z500,21,FALSE)</f>
        <v>Customization / Regionalisation</v>
      </c>
      <c r="B50" s="16" t="str">
        <f>HLOOKUP(Language!$C$3,Language!$E$1:$Z502,22,FALSE)</f>
        <v>Default</v>
      </c>
      <c r="C50" s="16" t="str">
        <f>HLOOKUP(Language!$C$3,Language!$E$1:$Z502,22,FALSE)</f>
        <v>Default</v>
      </c>
      <c r="D50" s="16" t="str">
        <f>HLOOKUP(Language!$C$3,Language!$E$1:$Z502,22,FALSE)</f>
        <v>Default</v>
      </c>
      <c r="E50" s="16" t="str">
        <f>HLOOKUP(Language!$C$3,Language!$E$1:$Z502,47,FALSE)</f>
        <v>GE branding</v>
      </c>
      <c r="F50" s="16" t="str">
        <f>HLOOKUP(Language!$C$3,Language!$E$1:$Z502,47,FALSE)</f>
        <v>GE branding</v>
      </c>
      <c r="G50" s="16" t="str">
        <f>HLOOKUP(Language!$C$3,Language!$E$1:$Z502,47,FALSE)</f>
        <v>GE branding</v>
      </c>
      <c r="H50" s="16" t="str">
        <f>HLOOKUP(Language!$C$3,Language!$E$1:$Z502,47,FALSE)</f>
        <v>GE branding</v>
      </c>
      <c r="I50" s="16" t="str">
        <f>HLOOKUP(Language!$C$3,Language!$E$1:$Z502,47,FALSE)</f>
        <v>GE branding</v>
      </c>
    </row>
    <row r="51" spans="1:9" x14ac:dyDescent="0.2">
      <c r="A51" s="30"/>
      <c r="B51" s="19" t="str">
        <f>HLOOKUP(Language!$C$3,Language!$E$1:$Z502,23,FALSE)</f>
        <v>Reason branding</v>
      </c>
      <c r="C51" s="19" t="str">
        <f>HLOOKUP(Language!$C$3,Language!$E$1:$Z502,23,FALSE)</f>
        <v>Reason branding</v>
      </c>
      <c r="D51" s="19" t="str">
        <f>HLOOKUP(Language!$C$3,Language!$E$1:$Z502,23,FALSE)</f>
        <v>Reason branding</v>
      </c>
      <c r="E51" s="19"/>
      <c r="F51" s="19"/>
      <c r="G51" s="19"/>
      <c r="H51" s="19"/>
      <c r="I51" s="19"/>
    </row>
    <row r="52" spans="1:9" x14ac:dyDescent="0.2">
      <c r="A52" s="30"/>
      <c r="B52" s="19" t="s">
        <v>15</v>
      </c>
      <c r="C52" s="19" t="s">
        <v>15</v>
      </c>
      <c r="D52" s="19" t="s">
        <v>15</v>
      </c>
      <c r="E52" s="19"/>
      <c r="F52" s="19"/>
      <c r="G52" s="19"/>
      <c r="H52" s="19"/>
      <c r="I52" s="19"/>
    </row>
    <row r="53" spans="1:9" x14ac:dyDescent="0.2">
      <c r="A53" s="30"/>
      <c r="B53" s="19"/>
      <c r="C53" s="19"/>
      <c r="D53" s="19"/>
      <c r="E53" s="19"/>
      <c r="F53" s="19"/>
      <c r="G53" s="19"/>
      <c r="H53" s="19"/>
      <c r="I53" s="19"/>
    </row>
    <row r="54" spans="1:9" x14ac:dyDescent="0.2">
      <c r="A54" s="30"/>
      <c r="B54" s="19"/>
      <c r="C54" s="19"/>
      <c r="D54" s="19"/>
      <c r="E54" s="19"/>
      <c r="F54" s="19"/>
      <c r="G54" s="19"/>
      <c r="H54" s="19"/>
      <c r="I54" s="19"/>
    </row>
    <row r="55" spans="1:9" x14ac:dyDescent="0.2">
      <c r="B55" s="9"/>
      <c r="C55" s="9"/>
      <c r="D55" s="9"/>
      <c r="E55" s="9"/>
      <c r="F55" s="9"/>
      <c r="G55" s="9"/>
      <c r="H55" s="9"/>
      <c r="I55" s="9"/>
    </row>
    <row r="56" spans="1:9" x14ac:dyDescent="0.2">
      <c r="B56" s="8" t="s">
        <v>0</v>
      </c>
      <c r="C56" s="8" t="s">
        <v>0</v>
      </c>
      <c r="D56" s="8" t="s">
        <v>0</v>
      </c>
      <c r="E56" s="8" t="s">
        <v>2</v>
      </c>
      <c r="F56" s="8" t="s">
        <v>2</v>
      </c>
      <c r="G56" s="8" t="s">
        <v>2</v>
      </c>
      <c r="H56" s="8" t="s">
        <v>2</v>
      </c>
      <c r="I56" s="8" t="s">
        <v>2</v>
      </c>
    </row>
    <row r="57" spans="1:9" x14ac:dyDescent="0.2">
      <c r="B57" s="9" t="s">
        <v>1</v>
      </c>
      <c r="C57" s="9" t="s">
        <v>1</v>
      </c>
      <c r="D57" s="9" t="s">
        <v>1</v>
      </c>
      <c r="E57" s="9"/>
      <c r="F57" s="9"/>
      <c r="G57" s="9"/>
      <c r="H57" s="9"/>
      <c r="I57" s="9"/>
    </row>
    <row r="58" spans="1:9" x14ac:dyDescent="0.2">
      <c r="B58" s="9" t="s">
        <v>2</v>
      </c>
      <c r="C58" s="9" t="s">
        <v>2</v>
      </c>
      <c r="D58" s="9" t="s">
        <v>2</v>
      </c>
      <c r="E58" s="9"/>
      <c r="F58" s="9"/>
      <c r="G58" s="9"/>
      <c r="H58" s="9"/>
      <c r="I58" s="9"/>
    </row>
    <row r="59" spans="1:9" x14ac:dyDescent="0.2">
      <c r="B59" s="9"/>
      <c r="C59" s="9"/>
      <c r="D59" s="9"/>
      <c r="E59" s="9"/>
      <c r="F59" s="9"/>
      <c r="G59" s="9"/>
      <c r="H59" s="9"/>
      <c r="I59" s="9"/>
    </row>
    <row r="60" spans="1:9" x14ac:dyDescent="0.2">
      <c r="B60" s="133"/>
      <c r="C60" s="133"/>
      <c r="D60" s="133"/>
      <c r="E60" s="133"/>
      <c r="F60" s="133"/>
      <c r="G60" s="133"/>
      <c r="H60" s="133"/>
      <c r="I60" s="133"/>
    </row>
    <row r="61" spans="1:9" x14ac:dyDescent="0.2">
      <c r="A61" s="10" t="str">
        <f>HLOOKUP(Language!$C$3,Language!$E$1:$Z500,24,FALSE)</f>
        <v>Firmware Version</v>
      </c>
      <c r="B61" s="18" t="str">
        <f>HLOOKUP(Language!$C$3,Language!$E$1:$Z502,25,FALSE)</f>
        <v>Firmware 12</v>
      </c>
      <c r="C61" s="18" t="str">
        <f>HLOOKUP(Language!$C$3,Language!$E$1:$Z502,25,FALSE)</f>
        <v>Firmware 12</v>
      </c>
      <c r="D61" s="18" t="str">
        <f>HLOOKUP(Language!$C$3,Language!$E$1:$Z502,44,FALSE)</f>
        <v>Firmware 13</v>
      </c>
      <c r="E61" s="18" t="str">
        <f>HLOOKUP(Language!$C$3,Language!$E$1:$Z502,44,FALSE)</f>
        <v>Firmware 13</v>
      </c>
      <c r="F61" s="18" t="str">
        <f>HLOOKUP(Language!$C$3,Language!$E$1:$Z501,49,FALSE)</f>
        <v>Firmware 14</v>
      </c>
      <c r="G61" s="18" t="str">
        <f>HLOOKUP(Language!$C$3,Language!$E$1:$Z501,49,FALSE)</f>
        <v>Firmware 14</v>
      </c>
      <c r="H61" s="18" t="str">
        <f>HLOOKUP(Language!$C$3,Language!$E$1:$Z501,49,FALSE)</f>
        <v>Firmware 14</v>
      </c>
      <c r="I61" s="18" t="str">
        <f>HLOOKUP(Language!$C$3,Language!$E$1:$Z501,49,FALSE)</f>
        <v>Firmware 14</v>
      </c>
    </row>
    <row r="62" spans="1:9" x14ac:dyDescent="0.2">
      <c r="A62" s="30"/>
      <c r="B62" s="19"/>
      <c r="C62" s="19" t="str">
        <f>HLOOKUP(Language!$C$3,Language!$E$1:$Z503,40,FALSE)</f>
        <v>Firmware 11</v>
      </c>
      <c r="D62" s="19" t="str">
        <f>HLOOKUP(Language!$C$3,Language!$E$1:$Z503,25,FALSE)</f>
        <v>Firmware 12</v>
      </c>
      <c r="E62" s="217"/>
      <c r="F62" s="17" t="str">
        <f>HLOOKUP(Language!$C$3,Language!$E$1:$Z502,44,FALSE)</f>
        <v>Firmware 13</v>
      </c>
      <c r="G62" s="17" t="str">
        <f>HLOOKUP(Language!$C$3,Language!$E$1:$Z502,44,FALSE)</f>
        <v>Firmware 13</v>
      </c>
      <c r="H62" s="17" t="str">
        <f>HLOOKUP(Language!$C$3,Language!$E$1:$Z502,53,FALSE)</f>
        <v>Firmware 13 (withdraw)</v>
      </c>
      <c r="I62" s="17" t="str">
        <f>HLOOKUP(Language!$C$3,Language!$E$1:$Z502,53,FALSE)</f>
        <v>Firmware 13 (withdraw)</v>
      </c>
    </row>
    <row r="63" spans="1:9" x14ac:dyDescent="0.2">
      <c r="A63" s="30"/>
      <c r="B63" s="19"/>
      <c r="C63" s="19"/>
      <c r="D63" s="19" t="str">
        <f>HLOOKUP(Language!$C$3,Language!$E$1:$Z504,40,FALSE)</f>
        <v>Firmware 11</v>
      </c>
      <c r="E63" s="19"/>
      <c r="F63" s="19"/>
      <c r="G63" s="19"/>
      <c r="H63" s="19"/>
      <c r="I63" s="19"/>
    </row>
    <row r="64" spans="1:9" x14ac:dyDescent="0.2">
      <c r="A64" s="30"/>
      <c r="B64" s="19"/>
      <c r="C64" s="19"/>
      <c r="D64" s="19"/>
      <c r="E64" s="19"/>
      <c r="F64" s="19"/>
      <c r="G64" s="19"/>
      <c r="H64" s="19"/>
      <c r="I64" s="19"/>
    </row>
    <row r="65" spans="1:9" x14ac:dyDescent="0.2">
      <c r="A65" s="30"/>
      <c r="B65" s="19"/>
      <c r="C65" s="19"/>
      <c r="D65" s="19"/>
      <c r="E65" s="19"/>
      <c r="F65" s="19"/>
      <c r="G65" s="19"/>
      <c r="H65" s="19"/>
      <c r="I65" s="19"/>
    </row>
    <row r="66" spans="1:9" x14ac:dyDescent="0.2">
      <c r="A66" s="30"/>
      <c r="B66" s="19"/>
      <c r="C66" s="19"/>
      <c r="D66" s="19"/>
      <c r="E66" s="19"/>
      <c r="F66" s="19"/>
      <c r="G66" s="19"/>
      <c r="H66" s="19"/>
      <c r="I66" s="19"/>
    </row>
    <row r="67" spans="1:9" x14ac:dyDescent="0.2">
      <c r="B67" s="9"/>
      <c r="C67" s="9"/>
      <c r="D67" s="9"/>
      <c r="E67" s="9"/>
      <c r="F67" s="9"/>
      <c r="G67" s="9"/>
      <c r="H67" s="9"/>
      <c r="I67" s="9"/>
    </row>
    <row r="68" spans="1:9" x14ac:dyDescent="0.2">
      <c r="B68" s="99">
        <v>11</v>
      </c>
      <c r="C68" s="99">
        <v>12</v>
      </c>
      <c r="D68" s="99">
        <v>13</v>
      </c>
      <c r="E68" s="99">
        <v>13</v>
      </c>
      <c r="F68" s="99">
        <v>14</v>
      </c>
      <c r="G68" s="99">
        <v>14</v>
      </c>
      <c r="H68" s="99">
        <v>14</v>
      </c>
      <c r="I68" s="99">
        <v>14</v>
      </c>
    </row>
    <row r="69" spans="1:9" x14ac:dyDescent="0.2">
      <c r="B69" s="9"/>
      <c r="C69" s="9">
        <v>11</v>
      </c>
      <c r="D69" s="9">
        <v>12</v>
      </c>
      <c r="E69" s="9"/>
      <c r="F69" s="9">
        <v>13</v>
      </c>
      <c r="G69" s="9">
        <v>13</v>
      </c>
      <c r="H69" s="9">
        <v>13</v>
      </c>
      <c r="I69" s="9">
        <v>13</v>
      </c>
    </row>
    <row r="70" spans="1:9" x14ac:dyDescent="0.2">
      <c r="B70" s="9"/>
      <c r="C70" s="9"/>
      <c r="D70" s="9">
        <v>11</v>
      </c>
      <c r="E70" s="9"/>
      <c r="F70" s="9"/>
      <c r="G70" s="9"/>
      <c r="H70" s="9"/>
      <c r="I70" s="9"/>
    </row>
    <row r="71" spans="1:9" x14ac:dyDescent="0.2">
      <c r="B71" s="9"/>
      <c r="C71" s="9"/>
      <c r="D71" s="9"/>
      <c r="E71" s="9"/>
      <c r="F71" s="9"/>
      <c r="G71" s="9"/>
      <c r="H71" s="9"/>
      <c r="I71" s="9"/>
    </row>
    <row r="72" spans="1:9" x14ac:dyDescent="0.2">
      <c r="B72" s="9"/>
      <c r="C72" s="9"/>
      <c r="D72" s="9"/>
      <c r="E72" s="9"/>
      <c r="F72" s="9"/>
      <c r="G72" s="9"/>
      <c r="H72" s="9"/>
      <c r="I72" s="9"/>
    </row>
    <row r="73" spans="1:9" x14ac:dyDescent="0.2">
      <c r="B73" s="9"/>
      <c r="C73" s="9"/>
      <c r="D73" s="9"/>
      <c r="E73" s="9"/>
      <c r="F73" s="9"/>
      <c r="G73" s="9"/>
      <c r="H73" s="9"/>
      <c r="I73" s="9"/>
    </row>
    <row r="74" spans="1:9" x14ac:dyDescent="0.2">
      <c r="B74" s="19"/>
      <c r="C74" s="19"/>
      <c r="D74" s="19"/>
      <c r="E74" s="19"/>
      <c r="F74" s="19"/>
      <c r="G74" s="19"/>
      <c r="H74" s="19"/>
      <c r="I74" s="19"/>
    </row>
    <row r="75" spans="1:9" x14ac:dyDescent="0.2">
      <c r="A75" s="10" t="str">
        <f>HLOOKUP(Language!$C$3,Language!$E$1:$Z500,26,FALSE)</f>
        <v>Hardware Design Suffix</v>
      </c>
      <c r="B75" s="16" t="str">
        <f>HLOOKUP(Language!$C$3,Language!$E$1:$Z502,27,FALSE)</f>
        <v>Third version (withdraw)</v>
      </c>
      <c r="C75" s="16" t="str">
        <f>HLOOKUP(Language!$C$3,Language!$E$1:$Z502,27,FALSE)</f>
        <v>Third version (withdraw)</v>
      </c>
      <c r="D75" s="16" t="str">
        <f>HLOOKUP(Language!$C$3,Language!$E$1:$Z502,27,FALSE)</f>
        <v>Third version (withdraw)</v>
      </c>
      <c r="E75" s="16" t="str">
        <f>HLOOKUP(Language!$C$3,Language!$E$1:$Z502,27,FALSE)</f>
        <v>Third version (withdraw)</v>
      </c>
      <c r="F75" s="16" t="str">
        <f>HLOOKUP(Language!$C$3,Language!$E$1:$Z502,27,FALSE)</f>
        <v>Third version (withdraw)</v>
      </c>
      <c r="G75" s="16" t="str">
        <f>HLOOKUP(Language!$C$3,Language!$E$1:$Z502,27,FALSE)</f>
        <v>Third version (withdraw)</v>
      </c>
      <c r="H75" s="16" t="str">
        <f>HLOOKUP(Language!$C$3,Language!$E$1:$Z502,27,FALSE)</f>
        <v>Third version (withdraw)</v>
      </c>
      <c r="I75" s="16" t="str">
        <f>HLOOKUP(Language!$C$3,Language!$E$1:$Z502,27,FALSE)</f>
        <v>Third version (withdraw)</v>
      </c>
    </row>
    <row r="76" spans="1:9" x14ac:dyDescent="0.2">
      <c r="A76" s="30"/>
      <c r="B76" s="19"/>
      <c r="C76" s="19"/>
      <c r="D76" s="19"/>
      <c r="E76" s="19"/>
      <c r="F76" s="19"/>
      <c r="G76" s="19" t="str">
        <f>HLOOKUP(Language!$C$3,Language!$E$1:$Z502,51,FALSE)</f>
        <v>Fourth version</v>
      </c>
      <c r="H76" s="19" t="str">
        <f>HLOOKUP(Language!$C$3,Language!$E$1:$Z502,51,FALSE)</f>
        <v>Fourth version</v>
      </c>
      <c r="I76" s="19" t="str">
        <f>HLOOKUP(Language!$C$3,Language!$E$1:$Z502,51,FALSE)</f>
        <v>Fourth version</v>
      </c>
    </row>
    <row r="77" spans="1:9" x14ac:dyDescent="0.2">
      <c r="A77" s="30"/>
      <c r="B77" s="19"/>
      <c r="C77" s="19"/>
      <c r="D77" s="19"/>
      <c r="E77" s="19"/>
      <c r="F77" s="19"/>
      <c r="G77" s="19"/>
      <c r="H77" s="19"/>
      <c r="I77" s="19"/>
    </row>
    <row r="78" spans="1:9" x14ac:dyDescent="0.2">
      <c r="A78" s="30"/>
      <c r="B78" s="19"/>
      <c r="C78" s="19"/>
      <c r="D78" s="19"/>
      <c r="E78" s="19"/>
      <c r="F78" s="19"/>
      <c r="G78" s="19"/>
      <c r="H78" s="19"/>
      <c r="I78" s="19"/>
    </row>
    <row r="79" spans="1:9" x14ac:dyDescent="0.2">
      <c r="A79" s="30"/>
      <c r="B79" s="19"/>
      <c r="C79" s="19"/>
      <c r="D79" s="19"/>
      <c r="E79" s="19"/>
      <c r="F79" s="19"/>
      <c r="G79" s="19"/>
      <c r="H79" s="19"/>
      <c r="I79" s="19"/>
    </row>
    <row r="80" spans="1:9" x14ac:dyDescent="0.2">
      <c r="B80" s="9"/>
      <c r="C80" s="9"/>
      <c r="D80" s="9"/>
      <c r="E80" s="9"/>
      <c r="F80" s="9"/>
      <c r="G80" s="9"/>
      <c r="H80" s="9"/>
      <c r="I80" s="9"/>
    </row>
    <row r="81" spans="1:9" x14ac:dyDescent="0.2">
      <c r="B81" s="8" t="s">
        <v>2</v>
      </c>
      <c r="C81" s="8" t="s">
        <v>2</v>
      </c>
      <c r="D81" s="8" t="s">
        <v>2</v>
      </c>
      <c r="E81" s="8" t="s">
        <v>2</v>
      </c>
      <c r="F81" s="8" t="s">
        <v>2</v>
      </c>
      <c r="G81" s="8" t="s">
        <v>2</v>
      </c>
      <c r="H81" s="8" t="s">
        <v>2</v>
      </c>
      <c r="I81" s="8" t="s">
        <v>2</v>
      </c>
    </row>
    <row r="82" spans="1:9" x14ac:dyDescent="0.2">
      <c r="B82" s="9"/>
      <c r="C82" s="9"/>
      <c r="D82" s="9"/>
      <c r="E82" s="9"/>
      <c r="F82" s="9"/>
      <c r="G82" s="9" t="s">
        <v>123</v>
      </c>
      <c r="H82" s="9" t="s">
        <v>123</v>
      </c>
      <c r="I82" s="9" t="s">
        <v>123</v>
      </c>
    </row>
    <row r="83" spans="1:9" x14ac:dyDescent="0.2">
      <c r="B83" s="9"/>
      <c r="C83" s="9"/>
      <c r="D83" s="9"/>
      <c r="E83" s="9"/>
      <c r="F83" s="9"/>
      <c r="G83" s="9"/>
      <c r="H83" s="9"/>
      <c r="I83" s="9"/>
    </row>
    <row r="84" spans="1:9" x14ac:dyDescent="0.2">
      <c r="B84" s="9"/>
      <c r="C84" s="9"/>
      <c r="D84" s="9"/>
      <c r="E84" s="9"/>
      <c r="F84" s="9"/>
      <c r="G84" s="9"/>
      <c r="H84" s="9"/>
      <c r="I84" s="9"/>
    </row>
    <row r="85" spans="1:9" x14ac:dyDescent="0.2">
      <c r="B85" s="9"/>
      <c r="C85" s="9"/>
      <c r="D85" s="9"/>
      <c r="E85" s="9"/>
      <c r="F85" s="9"/>
      <c r="G85" s="9"/>
      <c r="H85" s="9"/>
      <c r="I85" s="9"/>
    </row>
    <row r="86" spans="1:9" x14ac:dyDescent="0.2">
      <c r="A86" s="134"/>
      <c r="B86" s="133"/>
      <c r="C86" s="133"/>
      <c r="D86" s="133"/>
      <c r="E86" s="133"/>
      <c r="F86" s="133"/>
      <c r="G86" s="133"/>
      <c r="H86" s="133"/>
      <c r="I86" s="133"/>
    </row>
    <row r="87" spans="1:9" x14ac:dyDescent="0.2">
      <c r="B87" s="20"/>
      <c r="C87" s="20"/>
      <c r="D87" s="20"/>
      <c r="E87" s="20"/>
      <c r="F87" s="20"/>
      <c r="G87" s="20"/>
      <c r="H87" s="20"/>
      <c r="I87" s="20"/>
    </row>
    <row r="88" spans="1:9" x14ac:dyDescent="0.2">
      <c r="B88" s="132"/>
      <c r="C88" s="132"/>
      <c r="D88" s="132"/>
      <c r="E88" s="132"/>
      <c r="F88" s="132"/>
      <c r="G88" s="132"/>
      <c r="H88" s="132"/>
      <c r="I88" s="132"/>
    </row>
    <row r="89" spans="1:9" x14ac:dyDescent="0.2">
      <c r="B89" s="132"/>
      <c r="C89" s="132"/>
      <c r="D89" s="132"/>
      <c r="E89" s="132"/>
      <c r="F89" s="132"/>
      <c r="G89" s="132"/>
      <c r="H89" s="132"/>
      <c r="I89" s="132"/>
    </row>
    <row r="90" spans="1:9" x14ac:dyDescent="0.2">
      <c r="B90" s="132"/>
      <c r="C90" s="132"/>
      <c r="D90" s="132"/>
      <c r="E90" s="132"/>
      <c r="F90" s="132"/>
      <c r="G90" s="132"/>
      <c r="H90" s="132"/>
      <c r="I90" s="132"/>
    </row>
    <row r="91" spans="1:9" x14ac:dyDescent="0.2">
      <c r="B91" s="132"/>
      <c r="C91" s="132"/>
      <c r="D91" s="132"/>
      <c r="E91" s="132"/>
      <c r="F91" s="132"/>
      <c r="G91" s="132"/>
      <c r="H91" s="132"/>
      <c r="I91" s="132"/>
    </row>
    <row r="92" spans="1:9" x14ac:dyDescent="0.2">
      <c r="B92" s="132"/>
      <c r="C92" s="132"/>
      <c r="D92" s="132"/>
      <c r="E92" s="132"/>
      <c r="F92" s="132"/>
      <c r="G92" s="132"/>
      <c r="H92" s="132"/>
      <c r="I92" s="132"/>
    </row>
    <row r="93" spans="1:9" x14ac:dyDescent="0.2">
      <c r="B93" s="132"/>
      <c r="C93" s="132"/>
      <c r="D93" s="132"/>
      <c r="E93" s="132"/>
      <c r="F93" s="132"/>
      <c r="G93" s="132"/>
      <c r="H93" s="132"/>
      <c r="I93" s="132"/>
    </row>
    <row r="94" spans="1:9" x14ac:dyDescent="0.2">
      <c r="B94" s="132"/>
      <c r="C94" s="132"/>
      <c r="D94" s="132"/>
      <c r="E94" s="132"/>
      <c r="F94" s="132"/>
      <c r="G94" s="132"/>
      <c r="H94" s="132"/>
      <c r="I94" s="132"/>
    </row>
    <row r="95" spans="1:9" x14ac:dyDescent="0.2">
      <c r="B95" s="3"/>
      <c r="C95" s="3"/>
      <c r="D95" s="3"/>
      <c r="E95" s="3"/>
      <c r="F95" s="3"/>
      <c r="G95" s="3"/>
      <c r="H95" s="3"/>
      <c r="I95" s="3"/>
    </row>
    <row r="96" spans="1:9" x14ac:dyDescent="0.2">
      <c r="B96" s="3"/>
      <c r="C96" s="3"/>
      <c r="D96" s="3"/>
      <c r="E96" s="3"/>
      <c r="F96" s="3"/>
      <c r="G96" s="3"/>
      <c r="H96" s="3"/>
      <c r="I96" s="3"/>
    </row>
    <row r="97" spans="2:9" x14ac:dyDescent="0.2">
      <c r="B97" s="3"/>
      <c r="C97" s="3"/>
      <c r="D97" s="3"/>
      <c r="E97" s="3"/>
      <c r="F97" s="3"/>
      <c r="G97" s="3"/>
      <c r="H97" s="3"/>
      <c r="I97" s="3"/>
    </row>
    <row r="98" spans="2:9" x14ac:dyDescent="0.2">
      <c r="B98" s="3"/>
      <c r="C98" s="3"/>
      <c r="D98" s="3"/>
      <c r="E98" s="3"/>
      <c r="F98" s="3"/>
      <c r="G98" s="3"/>
      <c r="H98" s="3"/>
      <c r="I98" s="3"/>
    </row>
    <row r="99" spans="2:9" x14ac:dyDescent="0.2">
      <c r="B99" s="3"/>
      <c r="C99" s="3"/>
      <c r="D99" s="3"/>
      <c r="E99" s="3"/>
      <c r="F99" s="3"/>
      <c r="G99" s="3"/>
      <c r="H99" s="3"/>
      <c r="I99" s="3"/>
    </row>
    <row r="100" spans="2:9" x14ac:dyDescent="0.2">
      <c r="B100" s="3"/>
      <c r="C100" s="3"/>
      <c r="D100" s="3"/>
      <c r="E100" s="3"/>
      <c r="F100" s="3"/>
      <c r="G100" s="3"/>
      <c r="H100" s="3"/>
      <c r="I100" s="3"/>
    </row>
    <row r="101" spans="2:9" x14ac:dyDescent="0.2">
      <c r="B101" s="3"/>
      <c r="C101" s="3"/>
      <c r="D101" s="3"/>
      <c r="E101" s="3"/>
      <c r="F101" s="3"/>
      <c r="G101" s="3"/>
      <c r="H101" s="3"/>
      <c r="I101" s="3"/>
    </row>
    <row r="102" spans="2:9" x14ac:dyDescent="0.2">
      <c r="B102" s="3"/>
      <c r="C102" s="3"/>
      <c r="D102" s="3"/>
      <c r="E102" s="3"/>
      <c r="F102" s="3"/>
      <c r="G102" s="3"/>
      <c r="H102" s="3"/>
      <c r="I102" s="3"/>
    </row>
    <row r="103" spans="2:9" x14ac:dyDescent="0.2">
      <c r="B103" s="3"/>
      <c r="C103" s="3"/>
      <c r="D103" s="3"/>
      <c r="E103" s="3"/>
      <c r="F103" s="3"/>
      <c r="G103" s="3"/>
      <c r="H103" s="3"/>
      <c r="I103" s="3"/>
    </row>
    <row r="104" spans="2:9" x14ac:dyDescent="0.2">
      <c r="B104" s="3"/>
      <c r="C104" s="3"/>
      <c r="D104" s="3"/>
      <c r="E104" s="3"/>
      <c r="F104" s="3"/>
      <c r="G104" s="3"/>
      <c r="H104" s="3"/>
      <c r="I104" s="3"/>
    </row>
    <row r="105" spans="2:9" x14ac:dyDescent="0.2">
      <c r="B105" s="3"/>
      <c r="C105" s="3"/>
      <c r="D105" s="3"/>
      <c r="E105" s="3"/>
      <c r="F105" s="3"/>
      <c r="G105" s="3"/>
      <c r="H105" s="3"/>
      <c r="I105" s="3"/>
    </row>
    <row r="106" spans="2:9" x14ac:dyDescent="0.2">
      <c r="B106" s="3"/>
      <c r="C106" s="3"/>
      <c r="D106" s="3"/>
      <c r="E106" s="3"/>
      <c r="F106" s="3"/>
      <c r="G106" s="3"/>
      <c r="H106" s="3"/>
      <c r="I106" s="3"/>
    </row>
    <row r="107" spans="2:9" x14ac:dyDescent="0.2">
      <c r="B107" s="3"/>
      <c r="C107" s="3"/>
      <c r="D107" s="3"/>
      <c r="E107" s="3"/>
      <c r="F107" s="3"/>
      <c r="G107" s="3"/>
      <c r="H107" s="3"/>
      <c r="I107" s="3"/>
    </row>
    <row r="108" spans="2:9" x14ac:dyDescent="0.2">
      <c r="B108" s="3"/>
      <c r="C108" s="3"/>
      <c r="D108" s="3"/>
      <c r="E108" s="3"/>
      <c r="F108" s="3"/>
      <c r="G108" s="3"/>
      <c r="H108" s="3"/>
      <c r="I108" s="3"/>
    </row>
    <row r="109" spans="2:9" x14ac:dyDescent="0.2">
      <c r="B109" s="3"/>
      <c r="C109" s="3"/>
      <c r="D109" s="3"/>
      <c r="E109" s="3"/>
      <c r="F109" s="3"/>
      <c r="G109" s="3"/>
      <c r="H109" s="3"/>
      <c r="I109" s="3"/>
    </row>
    <row r="110" spans="2:9" x14ac:dyDescent="0.2">
      <c r="B110" s="3"/>
      <c r="C110" s="3"/>
      <c r="D110" s="3"/>
      <c r="E110" s="3"/>
      <c r="F110" s="3"/>
      <c r="G110" s="3"/>
      <c r="H110" s="3"/>
      <c r="I110" s="3"/>
    </row>
    <row r="111" spans="2:9" x14ac:dyDescent="0.2">
      <c r="B111" s="3"/>
      <c r="C111" s="3"/>
      <c r="D111" s="3"/>
      <c r="E111" s="3"/>
      <c r="F111" s="3"/>
      <c r="G111" s="3"/>
      <c r="H111" s="3"/>
      <c r="I111" s="3"/>
    </row>
    <row r="112" spans="2:9" x14ac:dyDescent="0.2">
      <c r="B112" s="3"/>
      <c r="C112" s="3"/>
      <c r="D112" s="3"/>
      <c r="E112" s="3"/>
      <c r="F112" s="3"/>
      <c r="G112" s="3"/>
      <c r="H112" s="3"/>
      <c r="I112" s="3"/>
    </row>
    <row r="113" spans="2:9" x14ac:dyDescent="0.2">
      <c r="B113" s="3"/>
      <c r="C113" s="3"/>
      <c r="D113" s="3"/>
      <c r="E113" s="3"/>
      <c r="F113" s="3"/>
      <c r="G113" s="3"/>
      <c r="H113" s="3"/>
      <c r="I113" s="3"/>
    </row>
    <row r="114" spans="2:9" x14ac:dyDescent="0.2">
      <c r="B114" s="3"/>
      <c r="C114" s="3"/>
      <c r="D114" s="3"/>
      <c r="E114" s="3"/>
      <c r="F114" s="3"/>
      <c r="G114" s="3"/>
      <c r="H114" s="3"/>
      <c r="I114" s="3"/>
    </row>
    <row r="115" spans="2:9" x14ac:dyDescent="0.2">
      <c r="B115" s="3"/>
      <c r="C115" s="3"/>
      <c r="D115" s="3"/>
      <c r="E115" s="3"/>
      <c r="F115" s="3"/>
      <c r="G115" s="3"/>
      <c r="H115" s="3"/>
      <c r="I115" s="3"/>
    </row>
    <row r="116" spans="2:9" x14ac:dyDescent="0.2">
      <c r="B116" s="3"/>
      <c r="C116" s="3"/>
      <c r="D116" s="3"/>
      <c r="E116" s="3"/>
      <c r="F116" s="3"/>
      <c r="G116" s="3"/>
      <c r="H116" s="3"/>
      <c r="I116" s="3"/>
    </row>
    <row r="117" spans="2:9" x14ac:dyDescent="0.2">
      <c r="B117" s="3"/>
      <c r="C117" s="3"/>
      <c r="D117" s="3"/>
      <c r="E117" s="3"/>
      <c r="F117" s="3"/>
      <c r="G117" s="3"/>
      <c r="H117" s="3"/>
      <c r="I117" s="3"/>
    </row>
    <row r="118" spans="2:9" x14ac:dyDescent="0.2">
      <c r="B118" s="9"/>
      <c r="C118" s="9"/>
      <c r="D118" s="9"/>
      <c r="E118" s="9"/>
      <c r="F118" s="9"/>
      <c r="G118" s="9"/>
      <c r="H118" s="9"/>
      <c r="I118" s="9"/>
    </row>
    <row r="119" spans="2:9" x14ac:dyDescent="0.2">
      <c r="B119" s="9"/>
      <c r="C119" s="9"/>
      <c r="D119" s="9"/>
      <c r="E119" s="9"/>
      <c r="F119" s="9"/>
      <c r="G119" s="9"/>
      <c r="H119" s="9"/>
      <c r="I119" s="9"/>
    </row>
    <row r="120" spans="2:9" x14ac:dyDescent="0.2">
      <c r="B120" s="9"/>
      <c r="C120" s="9"/>
      <c r="D120" s="9"/>
      <c r="E120" s="9"/>
      <c r="F120" s="9"/>
      <c r="G120" s="9"/>
      <c r="H120" s="9"/>
      <c r="I120" s="9"/>
    </row>
    <row r="121" spans="2:9" x14ac:dyDescent="0.2">
      <c r="B121" s="9"/>
      <c r="C121" s="9"/>
      <c r="D121" s="9"/>
      <c r="E121" s="9"/>
      <c r="F121" s="9"/>
      <c r="G121" s="9"/>
      <c r="H121" s="9"/>
      <c r="I121" s="9"/>
    </row>
    <row r="122" spans="2:9" x14ac:dyDescent="0.2">
      <c r="B122" s="9"/>
      <c r="C122" s="9"/>
      <c r="D122" s="9"/>
      <c r="E122" s="9"/>
      <c r="F122" s="9"/>
      <c r="G122" s="9"/>
      <c r="H122" s="9"/>
      <c r="I122" s="9"/>
    </row>
    <row r="123" spans="2:9" x14ac:dyDescent="0.2">
      <c r="B123" s="9"/>
      <c r="C123" s="9"/>
      <c r="D123" s="9"/>
      <c r="E123" s="9"/>
      <c r="F123" s="9"/>
      <c r="G123" s="9"/>
      <c r="H123" s="9"/>
      <c r="I123" s="9"/>
    </row>
    <row r="124" spans="2:9" x14ac:dyDescent="0.2">
      <c r="B124" s="9"/>
      <c r="C124" s="9"/>
      <c r="D124" s="9"/>
      <c r="E124" s="9"/>
      <c r="F124" s="9"/>
      <c r="G124" s="9"/>
      <c r="H124" s="9"/>
      <c r="I124" s="9"/>
    </row>
    <row r="125" spans="2:9" x14ac:dyDescent="0.2">
      <c r="B125" s="9"/>
      <c r="C125" s="9"/>
      <c r="D125" s="9"/>
      <c r="E125" s="9"/>
      <c r="F125" s="9"/>
      <c r="G125" s="9"/>
      <c r="H125" s="9"/>
      <c r="I125" s="9"/>
    </row>
    <row r="126" spans="2:9" x14ac:dyDescent="0.2">
      <c r="B126" s="9"/>
      <c r="C126" s="9"/>
      <c r="D126" s="9"/>
      <c r="E126" s="9"/>
      <c r="F126" s="9"/>
      <c r="G126" s="9"/>
      <c r="H126" s="9"/>
      <c r="I126" s="9"/>
    </row>
    <row r="127" spans="2:9" x14ac:dyDescent="0.2">
      <c r="B127" s="9"/>
      <c r="C127" s="9"/>
      <c r="D127" s="9"/>
      <c r="E127" s="9"/>
      <c r="F127" s="9"/>
      <c r="G127" s="9"/>
      <c r="H127" s="9"/>
      <c r="I127" s="9"/>
    </row>
    <row r="128" spans="2:9" x14ac:dyDescent="0.2">
      <c r="B128" s="9"/>
      <c r="C128" s="9"/>
      <c r="D128" s="9"/>
      <c r="E128" s="9"/>
      <c r="F128" s="9"/>
      <c r="G128" s="9"/>
      <c r="H128" s="9"/>
      <c r="I128" s="9"/>
    </row>
    <row r="129" spans="1:9" x14ac:dyDescent="0.2">
      <c r="A129" s="10" t="s">
        <v>19</v>
      </c>
      <c r="B129" s="16" t="s">
        <v>20</v>
      </c>
      <c r="C129" s="16" t="s">
        <v>20</v>
      </c>
      <c r="D129" s="16" t="s">
        <v>20</v>
      </c>
      <c r="E129" s="16" t="s">
        <v>20</v>
      </c>
      <c r="F129" s="16" t="s">
        <v>20</v>
      </c>
      <c r="G129" s="16" t="s">
        <v>20</v>
      </c>
      <c r="H129" s="16" t="s">
        <v>20</v>
      </c>
      <c r="I129" s="16" t="s">
        <v>20</v>
      </c>
    </row>
    <row r="130" spans="1:9" x14ac:dyDescent="0.2">
      <c r="A130" s="30"/>
      <c r="B130" s="19"/>
      <c r="C130" s="19"/>
      <c r="D130" s="19"/>
      <c r="E130" s="19"/>
      <c r="F130" s="19"/>
      <c r="G130" s="19"/>
      <c r="H130" s="19"/>
      <c r="I130" s="19"/>
    </row>
    <row r="131" spans="1:9" x14ac:dyDescent="0.2">
      <c r="A131" s="30"/>
      <c r="B131" s="19"/>
      <c r="C131" s="19"/>
      <c r="D131" s="19"/>
      <c r="E131" s="19"/>
      <c r="F131" s="19"/>
      <c r="G131" s="19"/>
      <c r="H131" s="19"/>
      <c r="I131" s="19"/>
    </row>
    <row r="132" spans="1:9" x14ac:dyDescent="0.2">
      <c r="A132" s="30"/>
      <c r="B132" s="19"/>
      <c r="C132" s="19"/>
      <c r="D132" s="19"/>
      <c r="E132" s="19"/>
      <c r="F132" s="19"/>
      <c r="G132" s="19"/>
      <c r="H132" s="19"/>
      <c r="I132" s="19"/>
    </row>
    <row r="133" spans="1:9" x14ac:dyDescent="0.2">
      <c r="A133" s="30"/>
      <c r="B133" s="19"/>
      <c r="C133" s="19"/>
      <c r="D133" s="19"/>
      <c r="E133" s="19"/>
      <c r="F133" s="19"/>
      <c r="G133" s="19"/>
      <c r="H133" s="19"/>
      <c r="I133" s="19"/>
    </row>
    <row r="134" spans="1:9" x14ac:dyDescent="0.2">
      <c r="A134" s="30"/>
      <c r="B134" s="19"/>
      <c r="C134" s="19"/>
      <c r="D134" s="19"/>
      <c r="E134" s="19"/>
      <c r="F134" s="19"/>
      <c r="G134" s="19"/>
      <c r="H134" s="19"/>
      <c r="I134" s="19"/>
    </row>
    <row r="135" spans="1:9" x14ac:dyDescent="0.2">
      <c r="A135" s="30"/>
      <c r="B135" s="19"/>
      <c r="C135" s="19"/>
      <c r="D135" s="19"/>
      <c r="E135" s="19"/>
      <c r="F135" s="19"/>
      <c r="G135" s="19"/>
      <c r="H135" s="19"/>
      <c r="I135" s="19"/>
    </row>
    <row r="136" spans="1:9" x14ac:dyDescent="0.2">
      <c r="A136" s="30"/>
      <c r="B136" s="19"/>
      <c r="C136" s="19"/>
      <c r="D136" s="19"/>
      <c r="E136" s="19"/>
      <c r="F136" s="19"/>
      <c r="G136" s="19"/>
      <c r="H136" s="19"/>
      <c r="I136" s="19"/>
    </row>
    <row r="137" spans="1:9" x14ac:dyDescent="0.2">
      <c r="A137" s="30"/>
      <c r="B137" s="19"/>
      <c r="C137" s="19"/>
      <c r="D137" s="19"/>
      <c r="E137" s="19"/>
      <c r="F137" s="19"/>
      <c r="G137" s="19"/>
      <c r="H137" s="19"/>
      <c r="I137" s="19"/>
    </row>
    <row r="138" spans="1:9" x14ac:dyDescent="0.2">
      <c r="A138" s="30"/>
      <c r="B138" s="19"/>
      <c r="C138" s="19"/>
      <c r="D138" s="19"/>
      <c r="E138" s="19"/>
      <c r="F138" s="19"/>
      <c r="G138" s="19"/>
      <c r="H138" s="19"/>
      <c r="I138" s="19"/>
    </row>
    <row r="139" spans="1:9" x14ac:dyDescent="0.2">
      <c r="A139" s="30"/>
      <c r="B139" s="19"/>
      <c r="C139" s="19"/>
      <c r="D139" s="19"/>
      <c r="E139" s="19"/>
      <c r="F139" s="19"/>
      <c r="G139" s="19"/>
      <c r="H139" s="19"/>
      <c r="I139" s="19"/>
    </row>
    <row r="140" spans="1:9" x14ac:dyDescent="0.2">
      <c r="B140" s="9"/>
      <c r="C140" s="9"/>
      <c r="D140" s="9"/>
      <c r="E140" s="9"/>
      <c r="F140" s="9"/>
      <c r="G140" s="9"/>
      <c r="H140" s="9"/>
      <c r="I140" s="9"/>
    </row>
    <row r="141" spans="1:9" x14ac:dyDescent="0.2">
      <c r="B141" s="8" t="s">
        <v>0</v>
      </c>
      <c r="C141" s="8" t="s">
        <v>0</v>
      </c>
      <c r="D141" s="8" t="s">
        <v>0</v>
      </c>
      <c r="E141" s="8" t="s">
        <v>0</v>
      </c>
      <c r="F141" s="8" t="s">
        <v>0</v>
      </c>
      <c r="G141" s="8" t="s">
        <v>0</v>
      </c>
      <c r="H141" s="8" t="s">
        <v>0</v>
      </c>
      <c r="I141" s="8" t="s">
        <v>0</v>
      </c>
    </row>
    <row r="142" spans="1:9" x14ac:dyDescent="0.2">
      <c r="B142" s="9"/>
      <c r="C142" s="9"/>
      <c r="D142" s="9"/>
      <c r="E142" s="9"/>
      <c r="F142" s="9"/>
      <c r="G142" s="9"/>
      <c r="H142" s="9"/>
      <c r="I142" s="9"/>
    </row>
    <row r="143" spans="1:9" x14ac:dyDescent="0.2">
      <c r="B143" s="9"/>
      <c r="C143" s="9"/>
      <c r="D143" s="9"/>
      <c r="E143" s="9"/>
      <c r="F143" s="9"/>
      <c r="G143" s="9"/>
      <c r="H143" s="9"/>
      <c r="I143" s="9"/>
    </row>
    <row r="144" spans="1:9" x14ac:dyDescent="0.2">
      <c r="B144" s="9"/>
      <c r="C144" s="9"/>
      <c r="D144" s="9"/>
      <c r="E144" s="9"/>
      <c r="F144" s="9"/>
      <c r="G144" s="9"/>
      <c r="H144" s="9"/>
      <c r="I144" s="9"/>
    </row>
    <row r="145" spans="2:9" x14ac:dyDescent="0.2">
      <c r="B145" s="9"/>
      <c r="C145" s="9"/>
      <c r="D145" s="9"/>
      <c r="E145" s="9"/>
      <c r="F145" s="9"/>
      <c r="G145" s="9"/>
      <c r="H145" s="9"/>
      <c r="I145" s="9"/>
    </row>
    <row r="146" spans="2:9" x14ac:dyDescent="0.2">
      <c r="B146" s="9"/>
      <c r="C146" s="9"/>
      <c r="D146" s="9"/>
      <c r="E146" s="9"/>
      <c r="F146" s="9"/>
      <c r="G146" s="9"/>
      <c r="H146" s="9"/>
      <c r="I146" s="9"/>
    </row>
    <row r="147" spans="2:9" x14ac:dyDescent="0.2">
      <c r="B147" s="9"/>
      <c r="C147" s="9"/>
      <c r="D147" s="9"/>
      <c r="E147" s="9"/>
      <c r="F147" s="9"/>
      <c r="G147" s="9"/>
      <c r="H147" s="9"/>
      <c r="I147" s="9"/>
    </row>
    <row r="148" spans="2:9" x14ac:dyDescent="0.2">
      <c r="B148" s="9"/>
      <c r="C148" s="9"/>
      <c r="D148" s="9"/>
      <c r="E148" s="9"/>
      <c r="F148" s="9"/>
      <c r="G148" s="9"/>
      <c r="H148" s="9"/>
      <c r="I148" s="9"/>
    </row>
    <row r="149" spans="2:9" x14ac:dyDescent="0.2">
      <c r="B149" s="9"/>
      <c r="C149" s="9"/>
      <c r="D149" s="9"/>
      <c r="E149" s="9"/>
      <c r="F149" s="9"/>
      <c r="G149" s="9"/>
      <c r="H149" s="9"/>
      <c r="I149" s="9"/>
    </row>
    <row r="150" spans="2:9" x14ac:dyDescent="0.2">
      <c r="B150" s="9"/>
      <c r="C150" s="9"/>
      <c r="D150" s="9"/>
      <c r="E150" s="9"/>
      <c r="F150" s="9"/>
      <c r="G150" s="9"/>
      <c r="H150" s="9"/>
      <c r="I150" s="9"/>
    </row>
    <row r="151" spans="2:9" x14ac:dyDescent="0.2">
      <c r="B151" s="9"/>
      <c r="C151" s="9"/>
      <c r="D151" s="9"/>
      <c r="E151" s="9"/>
      <c r="F151" s="9"/>
      <c r="G151" s="9"/>
      <c r="H151" s="9"/>
      <c r="I151" s="9"/>
    </row>
    <row r="152" spans="2:9" x14ac:dyDescent="0.2">
      <c r="B152" s="9"/>
      <c r="C152" s="9"/>
      <c r="D152" s="9"/>
      <c r="E152" s="9"/>
      <c r="F152" s="9"/>
      <c r="G152" s="9"/>
      <c r="H152" s="9"/>
      <c r="I152" s="9"/>
    </row>
    <row r="153" spans="2:9" x14ac:dyDescent="0.2">
      <c r="B153" s="20"/>
      <c r="C153" s="20"/>
      <c r="D153" s="20"/>
      <c r="E153" s="20"/>
      <c r="F153" s="20"/>
      <c r="G153" s="20"/>
      <c r="H153" s="20"/>
      <c r="I153" s="20"/>
    </row>
  </sheetData>
  <phoneticPr fontId="19" type="noConversion"/>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55"/>
  <sheetViews>
    <sheetView topLeftCell="A31" workbookViewId="0">
      <selection activeCell="G55" sqref="G55"/>
    </sheetView>
  </sheetViews>
  <sheetFormatPr defaultRowHeight="15" x14ac:dyDescent="0.25"/>
  <cols>
    <col min="1" max="1" width="2.42578125" style="193" customWidth="1"/>
    <col min="2" max="2" width="28.85546875" style="194" customWidth="1"/>
    <col min="3" max="3" width="3.140625" style="195" customWidth="1"/>
    <col min="4" max="4" width="3.140625" style="194" customWidth="1"/>
    <col min="5" max="6" width="72.7109375" style="205" customWidth="1"/>
    <col min="7" max="7" width="72.7109375" style="215" customWidth="1"/>
  </cols>
  <sheetData>
    <row r="1" spans="1:7" x14ac:dyDescent="0.25">
      <c r="B1" s="194" t="s">
        <v>42</v>
      </c>
      <c r="E1" s="205" t="s">
        <v>43</v>
      </c>
      <c r="F1" s="205" t="s">
        <v>44</v>
      </c>
      <c r="G1" s="215" t="s">
        <v>75</v>
      </c>
    </row>
    <row r="2" spans="1:7" x14ac:dyDescent="0.25">
      <c r="E2" s="205" t="s">
        <v>10</v>
      </c>
      <c r="F2" s="205" t="s">
        <v>45</v>
      </c>
      <c r="G2" s="205" t="s">
        <v>45</v>
      </c>
    </row>
    <row r="3" spans="1:7" x14ac:dyDescent="0.25">
      <c r="A3" s="196">
        <v>1</v>
      </c>
      <c r="B3" s="197" t="str">
        <f>VLOOKUP(A3,A4:C6,2,FALSE)</f>
        <v>English</v>
      </c>
      <c r="C3" s="198" t="str">
        <f>VLOOKUP(A3,A4:C6,3,FALSE)</f>
        <v>En</v>
      </c>
      <c r="D3" s="199"/>
      <c r="E3" s="205" t="s">
        <v>129</v>
      </c>
      <c r="F3" s="205" t="s">
        <v>76</v>
      </c>
      <c r="G3" s="215" t="s">
        <v>77</v>
      </c>
    </row>
    <row r="4" spans="1:7" x14ac:dyDescent="0.25">
      <c r="A4" s="200">
        <v>1</v>
      </c>
      <c r="B4" s="199" t="s">
        <v>46</v>
      </c>
      <c r="C4" s="201" t="s">
        <v>43</v>
      </c>
      <c r="D4" s="199"/>
      <c r="E4" s="205" t="s">
        <v>24</v>
      </c>
      <c r="F4" s="205" t="s">
        <v>24</v>
      </c>
      <c r="G4" s="215" t="s">
        <v>24</v>
      </c>
    </row>
    <row r="5" spans="1:7" x14ac:dyDescent="0.25">
      <c r="A5" s="200">
        <v>2</v>
      </c>
      <c r="B5" s="199" t="s">
        <v>47</v>
      </c>
      <c r="C5" s="201" t="s">
        <v>44</v>
      </c>
      <c r="D5" s="199"/>
      <c r="E5" s="205" t="s">
        <v>11</v>
      </c>
      <c r="F5" s="205" t="s">
        <v>61</v>
      </c>
      <c r="G5" s="215" t="s">
        <v>78</v>
      </c>
    </row>
    <row r="6" spans="1:7" x14ac:dyDescent="0.25">
      <c r="A6" s="202">
        <v>3</v>
      </c>
      <c r="B6" s="203" t="s">
        <v>74</v>
      </c>
      <c r="C6" s="204" t="s">
        <v>75</v>
      </c>
      <c r="D6" s="199"/>
      <c r="E6" s="205" t="s">
        <v>113</v>
      </c>
      <c r="F6" s="205" t="s">
        <v>114</v>
      </c>
      <c r="G6" s="205" t="s">
        <v>114</v>
      </c>
    </row>
    <row r="7" spans="1:7" x14ac:dyDescent="0.25">
      <c r="E7" s="205" t="s">
        <v>18</v>
      </c>
      <c r="F7" s="205" t="s">
        <v>62</v>
      </c>
      <c r="G7" s="215" t="s">
        <v>96</v>
      </c>
    </row>
    <row r="8" spans="1:7" x14ac:dyDescent="0.25">
      <c r="E8" s="205" t="s">
        <v>25</v>
      </c>
      <c r="F8" s="205" t="s">
        <v>79</v>
      </c>
      <c r="G8" s="215" t="s">
        <v>80</v>
      </c>
    </row>
    <row r="9" spans="1:7" x14ac:dyDescent="0.25">
      <c r="E9" s="205" t="s">
        <v>27</v>
      </c>
      <c r="F9" s="205" t="s">
        <v>63</v>
      </c>
      <c r="G9" s="215" t="s">
        <v>81</v>
      </c>
    </row>
    <row r="10" spans="1:7" x14ac:dyDescent="0.25">
      <c r="E10" s="205" t="s">
        <v>29</v>
      </c>
      <c r="F10" s="205" t="s">
        <v>64</v>
      </c>
      <c r="G10" s="215" t="s">
        <v>82</v>
      </c>
    </row>
    <row r="11" spans="1:7" x14ac:dyDescent="0.25">
      <c r="E11" s="205" t="s">
        <v>30</v>
      </c>
      <c r="F11" s="205" t="s">
        <v>65</v>
      </c>
      <c r="G11" s="215" t="s">
        <v>95</v>
      </c>
    </row>
    <row r="12" spans="1:7" x14ac:dyDescent="0.25">
      <c r="E12" s="205" t="s">
        <v>32</v>
      </c>
      <c r="F12" s="205" t="s">
        <v>66</v>
      </c>
      <c r="G12" s="215" t="s">
        <v>83</v>
      </c>
    </row>
    <row r="13" spans="1:7" x14ac:dyDescent="0.25">
      <c r="E13" s="205" t="s">
        <v>33</v>
      </c>
      <c r="F13" s="205" t="s">
        <v>67</v>
      </c>
      <c r="G13" s="215" t="s">
        <v>101</v>
      </c>
    </row>
    <row r="14" spans="1:7" x14ac:dyDescent="0.25">
      <c r="E14" s="205" t="s">
        <v>34</v>
      </c>
      <c r="F14" s="205" t="s">
        <v>68</v>
      </c>
      <c r="G14" s="215" t="s">
        <v>108</v>
      </c>
    </row>
    <row r="15" spans="1:7" x14ac:dyDescent="0.25">
      <c r="E15" s="205" t="s">
        <v>35</v>
      </c>
      <c r="F15" s="205" t="s">
        <v>35</v>
      </c>
      <c r="G15" s="205" t="s">
        <v>35</v>
      </c>
    </row>
    <row r="16" spans="1:7" x14ac:dyDescent="0.25">
      <c r="E16" s="205" t="s">
        <v>105</v>
      </c>
      <c r="F16" s="205" t="s">
        <v>106</v>
      </c>
      <c r="G16" s="215" t="s">
        <v>107</v>
      </c>
    </row>
    <row r="17" spans="5:7" x14ac:dyDescent="0.25">
      <c r="E17" s="205" t="s">
        <v>36</v>
      </c>
      <c r="F17" s="205" t="s">
        <v>69</v>
      </c>
      <c r="G17" s="205" t="s">
        <v>69</v>
      </c>
    </row>
    <row r="18" spans="5:7" x14ac:dyDescent="0.25">
      <c r="E18" s="205" t="s">
        <v>37</v>
      </c>
      <c r="F18" s="205" t="s">
        <v>70</v>
      </c>
      <c r="G18" s="215" t="s">
        <v>84</v>
      </c>
    </row>
    <row r="19" spans="5:7" x14ac:dyDescent="0.25">
      <c r="E19" s="205" t="s">
        <v>38</v>
      </c>
      <c r="F19" s="205" t="s">
        <v>103</v>
      </c>
      <c r="G19" s="205" t="s">
        <v>104</v>
      </c>
    </row>
    <row r="20" spans="5:7" x14ac:dyDescent="0.25">
      <c r="E20" s="205" t="s">
        <v>39</v>
      </c>
      <c r="F20" s="205" t="s">
        <v>71</v>
      </c>
      <c r="G20" s="215" t="s">
        <v>85</v>
      </c>
    </row>
    <row r="21" spans="5:7" x14ac:dyDescent="0.25">
      <c r="E21" s="205" t="s">
        <v>12</v>
      </c>
      <c r="F21" s="205" t="s">
        <v>72</v>
      </c>
      <c r="G21" s="215" t="s">
        <v>86</v>
      </c>
    </row>
    <row r="22" spans="5:7" x14ac:dyDescent="0.25">
      <c r="E22" s="205" t="s">
        <v>13</v>
      </c>
      <c r="F22" s="205" t="s">
        <v>13</v>
      </c>
      <c r="G22" s="205" t="s">
        <v>13</v>
      </c>
    </row>
    <row r="23" spans="5:7" x14ac:dyDescent="0.25">
      <c r="E23" s="205" t="s">
        <v>14</v>
      </c>
      <c r="F23" s="205" t="s">
        <v>48</v>
      </c>
      <c r="G23" s="205" t="s">
        <v>48</v>
      </c>
    </row>
    <row r="24" spans="5:7" x14ac:dyDescent="0.25">
      <c r="E24" s="205" t="s">
        <v>16</v>
      </c>
      <c r="F24" s="205" t="s">
        <v>73</v>
      </c>
      <c r="G24" s="205" t="s">
        <v>87</v>
      </c>
    </row>
    <row r="25" spans="5:7" x14ac:dyDescent="0.25">
      <c r="E25" s="205" t="s">
        <v>119</v>
      </c>
      <c r="F25" s="205" t="s">
        <v>119</v>
      </c>
      <c r="G25" s="205" t="s">
        <v>119</v>
      </c>
    </row>
    <row r="26" spans="5:7" x14ac:dyDescent="0.25">
      <c r="E26" s="205" t="s">
        <v>17</v>
      </c>
      <c r="F26" s="205" t="s">
        <v>97</v>
      </c>
      <c r="G26" s="205" t="s">
        <v>109</v>
      </c>
    </row>
    <row r="27" spans="5:7" x14ac:dyDescent="0.25">
      <c r="E27" s="205" t="s">
        <v>142</v>
      </c>
      <c r="F27" s="205" t="s">
        <v>143</v>
      </c>
      <c r="G27" s="215" t="s">
        <v>144</v>
      </c>
    </row>
    <row r="29" spans="5:7" x14ac:dyDescent="0.25">
      <c r="E29" s="205" t="s">
        <v>49</v>
      </c>
      <c r="F29" s="205" t="s">
        <v>50</v>
      </c>
      <c r="G29" s="215" t="s">
        <v>88</v>
      </c>
    </row>
    <row r="30" spans="5:7" x14ac:dyDescent="0.25">
      <c r="E30" s="205" t="s">
        <v>51</v>
      </c>
      <c r="F30" s="205" t="s">
        <v>98</v>
      </c>
      <c r="G30" s="215" t="s">
        <v>99</v>
      </c>
    </row>
    <row r="31" spans="5:7" x14ac:dyDescent="0.25">
      <c r="E31" s="205" t="s">
        <v>52</v>
      </c>
      <c r="F31" s="205" t="s">
        <v>53</v>
      </c>
      <c r="G31" s="215" t="s">
        <v>89</v>
      </c>
    </row>
    <row r="32" spans="5:7" ht="30" x14ac:dyDescent="0.25">
      <c r="E32" s="205" t="s">
        <v>3</v>
      </c>
      <c r="F32" s="205" t="s">
        <v>102</v>
      </c>
      <c r="G32" s="216" t="s">
        <v>92</v>
      </c>
    </row>
    <row r="33" spans="5:7" ht="45" x14ac:dyDescent="0.25">
      <c r="E33" s="205" t="s">
        <v>4</v>
      </c>
      <c r="F33" s="205" t="s">
        <v>54</v>
      </c>
      <c r="G33" s="216" t="s">
        <v>90</v>
      </c>
    </row>
    <row r="34" spans="5:7" ht="60" x14ac:dyDescent="0.25">
      <c r="E34" s="205" t="s">
        <v>5</v>
      </c>
      <c r="F34" s="205" t="s">
        <v>55</v>
      </c>
      <c r="G34" s="216" t="s">
        <v>91</v>
      </c>
    </row>
    <row r="35" spans="5:7" x14ac:dyDescent="0.25">
      <c r="E35" s="205" t="s">
        <v>56</v>
      </c>
      <c r="F35" s="205" t="s">
        <v>57</v>
      </c>
      <c r="G35" s="215" t="s">
        <v>100</v>
      </c>
    </row>
    <row r="36" spans="5:7" x14ac:dyDescent="0.25">
      <c r="E36" s="205" t="s">
        <v>7</v>
      </c>
      <c r="F36" s="205" t="s">
        <v>58</v>
      </c>
      <c r="G36" s="205" t="s">
        <v>58</v>
      </c>
    </row>
    <row r="37" spans="5:7" x14ac:dyDescent="0.25">
      <c r="E37" s="205" t="s">
        <v>9</v>
      </c>
      <c r="F37" s="205" t="s">
        <v>9</v>
      </c>
      <c r="G37" s="215" t="s">
        <v>93</v>
      </c>
    </row>
    <row r="38" spans="5:7" x14ac:dyDescent="0.25">
      <c r="E38" s="205" t="s">
        <v>59</v>
      </c>
      <c r="F38" s="205" t="s">
        <v>60</v>
      </c>
      <c r="G38" s="215" t="s">
        <v>94</v>
      </c>
    </row>
    <row r="39" spans="5:7" x14ac:dyDescent="0.25">
      <c r="E39" s="205" t="s">
        <v>112</v>
      </c>
      <c r="F39" s="205" t="s">
        <v>111</v>
      </c>
      <c r="G39" s="208" t="s">
        <v>110</v>
      </c>
    </row>
    <row r="40" spans="5:7" x14ac:dyDescent="0.25">
      <c r="E40" s="205" t="s">
        <v>120</v>
      </c>
      <c r="F40" s="205" t="s">
        <v>120</v>
      </c>
      <c r="G40" s="205" t="s">
        <v>120</v>
      </c>
    </row>
    <row r="41" spans="5:7" x14ac:dyDescent="0.25">
      <c r="E41" s="205" t="s">
        <v>158</v>
      </c>
      <c r="F41" s="205" t="s">
        <v>159</v>
      </c>
      <c r="G41" s="215" t="s">
        <v>159</v>
      </c>
    </row>
    <row r="42" spans="5:7" ht="24" x14ac:dyDescent="0.25">
      <c r="E42" s="205" t="s">
        <v>115</v>
      </c>
      <c r="F42" s="205" t="s">
        <v>116</v>
      </c>
      <c r="G42" s="205" t="s">
        <v>117</v>
      </c>
    </row>
    <row r="43" spans="5:7" x14ac:dyDescent="0.25">
      <c r="E43" s="205" t="s">
        <v>118</v>
      </c>
      <c r="F43" s="205" t="s">
        <v>118</v>
      </c>
      <c r="G43" s="205" t="s">
        <v>118</v>
      </c>
    </row>
    <row r="44" spans="5:7" x14ac:dyDescent="0.25">
      <c r="E44" s="205" t="s">
        <v>121</v>
      </c>
      <c r="F44" s="205" t="s">
        <v>121</v>
      </c>
      <c r="G44" s="205" t="s">
        <v>121</v>
      </c>
    </row>
    <row r="45" spans="5:7" x14ac:dyDescent="0.25">
      <c r="E45" s="205" t="s">
        <v>124</v>
      </c>
      <c r="F45" s="205" t="s">
        <v>125</v>
      </c>
      <c r="G45" s="216" t="s">
        <v>126</v>
      </c>
    </row>
    <row r="46" spans="5:7" ht="30" x14ac:dyDescent="0.25">
      <c r="E46" s="205" t="s">
        <v>130</v>
      </c>
      <c r="F46" s="205" t="s">
        <v>131</v>
      </c>
      <c r="G46" s="216" t="s">
        <v>132</v>
      </c>
    </row>
    <row r="47" spans="5:7" x14ac:dyDescent="0.25">
      <c r="E47" s="205" t="s">
        <v>127</v>
      </c>
      <c r="F47" s="205" t="s">
        <v>128</v>
      </c>
      <c r="G47" s="205" t="s">
        <v>128</v>
      </c>
    </row>
    <row r="48" spans="5:7" x14ac:dyDescent="0.25">
      <c r="E48" s="205" t="s">
        <v>135</v>
      </c>
      <c r="F48" s="205" t="s">
        <v>134</v>
      </c>
      <c r="G48" s="205" t="s">
        <v>133</v>
      </c>
    </row>
    <row r="49" spans="5:7" x14ac:dyDescent="0.25">
      <c r="E49" s="205" t="s">
        <v>136</v>
      </c>
      <c r="F49" s="205" t="s">
        <v>136</v>
      </c>
      <c r="G49" s="205" t="s">
        <v>136</v>
      </c>
    </row>
    <row r="50" spans="5:7" x14ac:dyDescent="0.25">
      <c r="E50" s="205" t="s">
        <v>138</v>
      </c>
      <c r="F50" s="205" t="s">
        <v>139</v>
      </c>
      <c r="G50" s="215" t="s">
        <v>140</v>
      </c>
    </row>
    <row r="51" spans="5:7" x14ac:dyDescent="0.25">
      <c r="E51" s="205" t="s">
        <v>147</v>
      </c>
      <c r="F51" s="205" t="s">
        <v>146</v>
      </c>
      <c r="G51" s="215" t="s">
        <v>145</v>
      </c>
    </row>
    <row r="52" spans="5:7" ht="30" x14ac:dyDescent="0.25">
      <c r="E52" s="205" t="s">
        <v>156</v>
      </c>
      <c r="F52" s="205" t="s">
        <v>149</v>
      </c>
      <c r="G52" s="216" t="s">
        <v>150</v>
      </c>
    </row>
    <row r="53" spans="5:7" x14ac:dyDescent="0.25">
      <c r="E53" s="205" t="s">
        <v>151</v>
      </c>
      <c r="F53" s="205" t="s">
        <v>152</v>
      </c>
      <c r="G53" s="205" t="s">
        <v>152</v>
      </c>
    </row>
    <row r="54" spans="5:7" x14ac:dyDescent="0.25">
      <c r="E54" s="205" t="s">
        <v>157</v>
      </c>
      <c r="F54" s="205" t="s">
        <v>153</v>
      </c>
      <c r="G54" s="216" t="s">
        <v>154</v>
      </c>
    </row>
    <row r="55" spans="5:7" ht="30" x14ac:dyDescent="0.25">
      <c r="E55" s="205" t="s">
        <v>161</v>
      </c>
      <c r="F55" s="205" t="s">
        <v>162</v>
      </c>
      <c r="G55" s="216" t="s">
        <v>163</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Cortec</vt:lpstr>
      <vt:lpstr>Configurator</vt:lpstr>
      <vt:lpstr>Master Text</vt:lpstr>
      <vt:lpstr>Database</vt:lpstr>
      <vt:lpstr>Date Drivers</vt:lpstr>
      <vt:lpstr>Language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Stegmann Pineda</dc:creator>
  <cp:lastModifiedBy>Pires, Adriano (GE Renewable Energy)</cp:lastModifiedBy>
  <cp:lastPrinted>2014-02-20T10:54:46Z</cp:lastPrinted>
  <dcterms:created xsi:type="dcterms:W3CDTF">2012-11-20T14:50:48Z</dcterms:created>
  <dcterms:modified xsi:type="dcterms:W3CDTF">2021-02-03T14:25:03Z</dcterms:modified>
</cp:coreProperties>
</file>